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lica\Desktop\SAJT zadnje\Energetska efikasnost\Brošure i vodiči\"/>
    </mc:Choice>
  </mc:AlternateContent>
  <bookViews>
    <workbookView xWindow="0" yWindow="0" windowWidth="20490" windowHeight="7755" tabRatio="636" activeTab="5"/>
  </bookViews>
  <sheets>
    <sheet name="Pregled" sheetId="20" r:id="rId1"/>
    <sheet name="Živa 80W" sheetId="6" r:id="rId2"/>
    <sheet name="Živa 125W" sheetId="16" r:id="rId3"/>
    <sheet name="Živa 250W" sheetId="17" r:id="rId4"/>
    <sheet name="Živa 400W" sheetId="18" r:id="rId5"/>
    <sheet name="LED" sheetId="15" r:id="rId6"/>
  </sheets>
  <calcPr calcId="152511"/>
</workbook>
</file>

<file path=xl/calcChain.xml><?xml version="1.0" encoding="utf-8"?>
<calcChain xmlns="http://schemas.openxmlformats.org/spreadsheetml/2006/main">
  <c r="T18" i="18" l="1"/>
  <c r="P18" i="18"/>
  <c r="V18" i="18" s="1"/>
  <c r="U18" i="18" l="1"/>
  <c r="W18" i="18"/>
  <c r="S18" i="18"/>
  <c r="T21" i="15"/>
  <c r="R23" i="15"/>
  <c r="R18" i="15"/>
  <c r="S11" i="15"/>
  <c r="C23" i="15"/>
  <c r="E21" i="15"/>
  <c r="C18" i="15"/>
  <c r="D11" i="15"/>
  <c r="P23" i="18"/>
  <c r="R21" i="18"/>
  <c r="Q11" i="18"/>
  <c r="P23" i="17"/>
  <c r="R21" i="17"/>
  <c r="P18" i="17"/>
  <c r="Q11" i="17"/>
  <c r="P23" i="16"/>
  <c r="R21" i="16"/>
  <c r="P18" i="16"/>
  <c r="Q11" i="16"/>
  <c r="P23" i="6"/>
  <c r="R21" i="6"/>
  <c r="P18" i="6"/>
  <c r="Q11" i="6"/>
  <c r="M18" i="15" l="1"/>
  <c r="K18" i="15"/>
  <c r="I18" i="15"/>
  <c r="G18" i="15"/>
  <c r="L18" i="15"/>
  <c r="J18" i="15"/>
  <c r="H18" i="15"/>
  <c r="F18" i="15"/>
  <c r="AA18" i="15"/>
  <c r="Y18" i="15"/>
  <c r="W18" i="15"/>
  <c r="AB18" i="15"/>
  <c r="Z18" i="15"/>
  <c r="X18" i="15"/>
  <c r="V18" i="15"/>
  <c r="W18" i="6"/>
  <c r="U18" i="6"/>
  <c r="V18" i="6"/>
  <c r="T18" i="6"/>
  <c r="W18" i="16"/>
  <c r="U18" i="16"/>
  <c r="S18" i="16"/>
  <c r="V18" i="16"/>
  <c r="T18" i="16"/>
  <c r="W18" i="17"/>
  <c r="U18" i="17"/>
  <c r="T18" i="17"/>
  <c r="V18" i="17"/>
  <c r="S18" i="17"/>
  <c r="AC61" i="20"/>
  <c r="AC60" i="20"/>
  <c r="AC59" i="20"/>
  <c r="AC58" i="20"/>
  <c r="AC57" i="20"/>
  <c r="AC56" i="20"/>
  <c r="AC55" i="20"/>
  <c r="AC54" i="20"/>
  <c r="AC53" i="20"/>
  <c r="AC52" i="20"/>
  <c r="AC51" i="20"/>
  <c r="AC50" i="20"/>
  <c r="AC49" i="20"/>
  <c r="AC48" i="20"/>
  <c r="AC47" i="20"/>
  <c r="AC46" i="20"/>
  <c r="AC45" i="20"/>
  <c r="AC44" i="20"/>
  <c r="AC43" i="20"/>
  <c r="AC42" i="20"/>
  <c r="AC41" i="20"/>
  <c r="AC40" i="20"/>
  <c r="AC39" i="20"/>
  <c r="AC38" i="20"/>
  <c r="AC37" i="20"/>
  <c r="AC36" i="20"/>
  <c r="AC35" i="20"/>
  <c r="AC34" i="20"/>
  <c r="AC33" i="20"/>
  <c r="AC32" i="20"/>
  <c r="AC31" i="20"/>
  <c r="AC30" i="20"/>
  <c r="AC29" i="20"/>
  <c r="AC28" i="20"/>
  <c r="AC27" i="20"/>
  <c r="AC26" i="20"/>
  <c r="AC25" i="20"/>
  <c r="AC24" i="20"/>
  <c r="AC23" i="20"/>
  <c r="AC22" i="20"/>
  <c r="AC21" i="20"/>
  <c r="AC20" i="20"/>
  <c r="AC19" i="20"/>
  <c r="AC18" i="20"/>
  <c r="AC17" i="20"/>
  <c r="Z60" i="20"/>
  <c r="Z52" i="20"/>
  <c r="Z44" i="20"/>
  <c r="Z36" i="20"/>
  <c r="Z32" i="20"/>
  <c r="Z28" i="20"/>
  <c r="Z24" i="20"/>
  <c r="Z20" i="20"/>
  <c r="X61" i="20"/>
  <c r="Z61" i="20" s="1"/>
  <c r="X60" i="20"/>
  <c r="X59" i="20"/>
  <c r="Z59" i="20" s="1"/>
  <c r="X58" i="20"/>
  <c r="Z58" i="20" s="1"/>
  <c r="X57" i="20"/>
  <c r="Z57" i="20" s="1"/>
  <c r="X56" i="20"/>
  <c r="Z56" i="20" s="1"/>
  <c r="X55" i="20"/>
  <c r="Z55" i="20" s="1"/>
  <c r="X54" i="20"/>
  <c r="Z54" i="20" s="1"/>
  <c r="X53" i="20"/>
  <c r="Z53" i="20" s="1"/>
  <c r="X52" i="20"/>
  <c r="X51" i="20"/>
  <c r="Z51" i="20" s="1"/>
  <c r="X50" i="20"/>
  <c r="Z50" i="20" s="1"/>
  <c r="X49" i="20"/>
  <c r="Z49" i="20" s="1"/>
  <c r="X48" i="20"/>
  <c r="Z48" i="20" s="1"/>
  <c r="AA48" i="20" s="1"/>
  <c r="X47" i="20"/>
  <c r="Z47" i="20" s="1"/>
  <c r="X46" i="20"/>
  <c r="Z46" i="20" s="1"/>
  <c r="X45" i="20"/>
  <c r="Z45" i="20" s="1"/>
  <c r="X44" i="20"/>
  <c r="X43" i="20"/>
  <c r="Z43" i="20" s="1"/>
  <c r="X42" i="20"/>
  <c r="Z42" i="20" s="1"/>
  <c r="X41" i="20"/>
  <c r="Z41" i="20" s="1"/>
  <c r="X40" i="20"/>
  <c r="Z40" i="20" s="1"/>
  <c r="X39" i="20"/>
  <c r="Z39" i="20" s="1"/>
  <c r="X38" i="20"/>
  <c r="Z38" i="20" s="1"/>
  <c r="X37" i="20"/>
  <c r="Z37" i="20" s="1"/>
  <c r="X36" i="20"/>
  <c r="X35" i="20"/>
  <c r="Z35" i="20" s="1"/>
  <c r="X34" i="20"/>
  <c r="Z34" i="20" s="1"/>
  <c r="X33" i="20"/>
  <c r="Z33" i="20" s="1"/>
  <c r="X32" i="20"/>
  <c r="X31" i="20"/>
  <c r="Z31" i="20" s="1"/>
  <c r="X30" i="20"/>
  <c r="Z30" i="20" s="1"/>
  <c r="AA30" i="20" s="1"/>
  <c r="X29" i="20"/>
  <c r="Z29" i="20" s="1"/>
  <c r="AA29" i="20" s="1"/>
  <c r="X28" i="20"/>
  <c r="X27" i="20"/>
  <c r="Z27" i="20" s="1"/>
  <c r="X26" i="20"/>
  <c r="Z26" i="20" s="1"/>
  <c r="AA26" i="20" s="1"/>
  <c r="X25" i="20"/>
  <c r="Z25" i="20" s="1"/>
  <c r="X24" i="20"/>
  <c r="X23" i="20"/>
  <c r="Z23" i="20" s="1"/>
  <c r="X22" i="20"/>
  <c r="Z22" i="20" s="1"/>
  <c r="X21" i="20"/>
  <c r="Z21" i="20" s="1"/>
  <c r="AA21" i="20" s="1"/>
  <c r="X20" i="20"/>
  <c r="X19" i="20"/>
  <c r="Z19" i="20" s="1"/>
  <c r="X18" i="20"/>
  <c r="Z18" i="20" s="1"/>
  <c r="AA18" i="20" s="1"/>
  <c r="X17" i="20"/>
  <c r="Z17" i="20" s="1"/>
  <c r="T61" i="20"/>
  <c r="U61" i="20" s="1"/>
  <c r="V61" i="20" s="1"/>
  <c r="AA61" i="20" s="1"/>
  <c r="U60" i="20"/>
  <c r="V60" i="20" s="1"/>
  <c r="T60" i="20"/>
  <c r="T59" i="20"/>
  <c r="U59" i="20" s="1"/>
  <c r="V59" i="20" s="1"/>
  <c r="AA59" i="20" s="1"/>
  <c r="T58" i="20"/>
  <c r="U58" i="20" s="1"/>
  <c r="V58" i="20" s="1"/>
  <c r="T57" i="20"/>
  <c r="U57" i="20" s="1"/>
  <c r="V57" i="20" s="1"/>
  <c r="T56" i="20"/>
  <c r="U56" i="20" s="1"/>
  <c r="V56" i="20" s="1"/>
  <c r="T55" i="20"/>
  <c r="U55" i="20" s="1"/>
  <c r="V55" i="20" s="1"/>
  <c r="T54" i="20"/>
  <c r="U54" i="20" s="1"/>
  <c r="V54" i="20" s="1"/>
  <c r="T53" i="20"/>
  <c r="U53" i="20" s="1"/>
  <c r="V53" i="20" s="1"/>
  <c r="AA53" i="20" s="1"/>
  <c r="U52" i="20"/>
  <c r="V52" i="20" s="1"/>
  <c r="T52" i="20"/>
  <c r="T51" i="20"/>
  <c r="U51" i="20" s="1"/>
  <c r="V51" i="20" s="1"/>
  <c r="AA51" i="20" s="1"/>
  <c r="T50" i="20"/>
  <c r="U50" i="20" s="1"/>
  <c r="V50" i="20" s="1"/>
  <c r="T49" i="20"/>
  <c r="U49" i="20" s="1"/>
  <c r="V49" i="20" s="1"/>
  <c r="AA49" i="20" s="1"/>
  <c r="T48" i="20"/>
  <c r="U48" i="20" s="1"/>
  <c r="V48" i="20" s="1"/>
  <c r="T47" i="20"/>
  <c r="U47" i="20" s="1"/>
  <c r="V47" i="20" s="1"/>
  <c r="T46" i="20"/>
  <c r="U46" i="20" s="1"/>
  <c r="V46" i="20" s="1"/>
  <c r="AD46" i="20" s="1"/>
  <c r="T45" i="20"/>
  <c r="U45" i="20" s="1"/>
  <c r="V45" i="20" s="1"/>
  <c r="AA45" i="20" s="1"/>
  <c r="U44" i="20"/>
  <c r="V44" i="20" s="1"/>
  <c r="T44" i="20"/>
  <c r="T43" i="20"/>
  <c r="U43" i="20" s="1"/>
  <c r="V43" i="20" s="1"/>
  <c r="AA43" i="20" s="1"/>
  <c r="T42" i="20"/>
  <c r="U42" i="20" s="1"/>
  <c r="V42" i="20" s="1"/>
  <c r="T41" i="20"/>
  <c r="U41" i="20" s="1"/>
  <c r="V41" i="20" s="1"/>
  <c r="T40" i="20"/>
  <c r="U40" i="20" s="1"/>
  <c r="V40" i="20" s="1"/>
  <c r="T39" i="20"/>
  <c r="U39" i="20" s="1"/>
  <c r="V39" i="20" s="1"/>
  <c r="T38" i="20"/>
  <c r="U38" i="20" s="1"/>
  <c r="V38" i="20" s="1"/>
  <c r="T37" i="20"/>
  <c r="U37" i="20" s="1"/>
  <c r="V37" i="20" s="1"/>
  <c r="AA37" i="20" s="1"/>
  <c r="U36" i="20"/>
  <c r="V36" i="20" s="1"/>
  <c r="T36" i="20"/>
  <c r="T35" i="20"/>
  <c r="U35" i="20" s="1"/>
  <c r="V35" i="20" s="1"/>
  <c r="AA35" i="20" s="1"/>
  <c r="T34" i="20"/>
  <c r="U34" i="20" s="1"/>
  <c r="V34" i="20" s="1"/>
  <c r="T33" i="20"/>
  <c r="U33" i="20" s="1"/>
  <c r="V33" i="20" s="1"/>
  <c r="AA33" i="20" s="1"/>
  <c r="T32" i="20"/>
  <c r="U32" i="20" s="1"/>
  <c r="V32" i="20" s="1"/>
  <c r="T31" i="20"/>
  <c r="U31" i="20" s="1"/>
  <c r="V31" i="20" s="1"/>
  <c r="AA31" i="20" s="1"/>
  <c r="T30" i="20"/>
  <c r="U30" i="20" s="1"/>
  <c r="V30" i="20" s="1"/>
  <c r="AD30" i="20" s="1"/>
  <c r="T29" i="20"/>
  <c r="U29" i="20" s="1"/>
  <c r="V29" i="20" s="1"/>
  <c r="U28" i="20"/>
  <c r="V28" i="20" s="1"/>
  <c r="T28" i="20"/>
  <c r="T27" i="20"/>
  <c r="U27" i="20" s="1"/>
  <c r="V27" i="20" s="1"/>
  <c r="AA27" i="20" s="1"/>
  <c r="T26" i="20"/>
  <c r="U26" i="20" s="1"/>
  <c r="V26" i="20" s="1"/>
  <c r="T25" i="20"/>
  <c r="U25" i="20" s="1"/>
  <c r="V25" i="20" s="1"/>
  <c r="T24" i="20"/>
  <c r="U24" i="20" s="1"/>
  <c r="V24" i="20" s="1"/>
  <c r="T23" i="20"/>
  <c r="U23" i="20" s="1"/>
  <c r="V23" i="20" s="1"/>
  <c r="AA23" i="20" s="1"/>
  <c r="T22" i="20"/>
  <c r="U22" i="20" s="1"/>
  <c r="V22" i="20" s="1"/>
  <c r="T21" i="20"/>
  <c r="U21" i="20" s="1"/>
  <c r="V21" i="20" s="1"/>
  <c r="U20" i="20"/>
  <c r="V20" i="20" s="1"/>
  <c r="T20" i="20"/>
  <c r="T19" i="20"/>
  <c r="U19" i="20" s="1"/>
  <c r="V19" i="20" s="1"/>
  <c r="T18" i="20"/>
  <c r="U18" i="20" s="1"/>
  <c r="V18" i="20" s="1"/>
  <c r="T17" i="20"/>
  <c r="U17" i="20" s="1"/>
  <c r="V17" i="20" s="1"/>
  <c r="AA17" i="20" s="1"/>
  <c r="O61" i="20"/>
  <c r="AE61" i="20" s="1"/>
  <c r="P59" i="20"/>
  <c r="O57" i="20"/>
  <c r="AE57" i="20" s="1"/>
  <c r="O53" i="20"/>
  <c r="AE53" i="20" s="1"/>
  <c r="P51" i="20"/>
  <c r="O49" i="20"/>
  <c r="AE49" i="20" s="1"/>
  <c r="O45" i="20"/>
  <c r="AE45" i="20" s="1"/>
  <c r="P43" i="20"/>
  <c r="O41" i="20"/>
  <c r="AE41" i="20" s="1"/>
  <c r="O37" i="20"/>
  <c r="AE37" i="20" s="1"/>
  <c r="P35" i="20"/>
  <c r="O33" i="20"/>
  <c r="AE33" i="20" s="1"/>
  <c r="O29" i="20"/>
  <c r="AE29" i="20" s="1"/>
  <c r="P27" i="20"/>
  <c r="O25" i="20"/>
  <c r="AE25" i="20" s="1"/>
  <c r="O21" i="20"/>
  <c r="AE21" i="20" s="1"/>
  <c r="P19" i="20"/>
  <c r="O17" i="20"/>
  <c r="AE17" i="20" s="1"/>
  <c r="M61" i="20"/>
  <c r="M60" i="20"/>
  <c r="O60" i="20" s="1"/>
  <c r="M59" i="20"/>
  <c r="O59" i="20" s="1"/>
  <c r="AE59" i="20" s="1"/>
  <c r="M58" i="20"/>
  <c r="O58" i="20" s="1"/>
  <c r="M57" i="20"/>
  <c r="M56" i="20"/>
  <c r="O56" i="20" s="1"/>
  <c r="M55" i="20"/>
  <c r="O55" i="20" s="1"/>
  <c r="AE55" i="20" s="1"/>
  <c r="M54" i="20"/>
  <c r="O54" i="20" s="1"/>
  <c r="M53" i="20"/>
  <c r="M52" i="20"/>
  <c r="O52" i="20" s="1"/>
  <c r="M51" i="20"/>
  <c r="O51" i="20" s="1"/>
  <c r="AE51" i="20" s="1"/>
  <c r="M50" i="20"/>
  <c r="O50" i="20" s="1"/>
  <c r="M49" i="20"/>
  <c r="M48" i="20"/>
  <c r="O48" i="20" s="1"/>
  <c r="M47" i="20"/>
  <c r="O47" i="20" s="1"/>
  <c r="AE47" i="20" s="1"/>
  <c r="M46" i="20"/>
  <c r="O46" i="20" s="1"/>
  <c r="M45" i="20"/>
  <c r="M44" i="20"/>
  <c r="O44" i="20" s="1"/>
  <c r="M43" i="20"/>
  <c r="O43" i="20" s="1"/>
  <c r="AE43" i="20" s="1"/>
  <c r="M42" i="20"/>
  <c r="O42" i="20" s="1"/>
  <c r="M41" i="20"/>
  <c r="M40" i="20"/>
  <c r="O40" i="20" s="1"/>
  <c r="M39" i="20"/>
  <c r="O39" i="20" s="1"/>
  <c r="AE39" i="20" s="1"/>
  <c r="M38" i="20"/>
  <c r="O38" i="20" s="1"/>
  <c r="M37" i="20"/>
  <c r="M36" i="20"/>
  <c r="O36" i="20" s="1"/>
  <c r="M35" i="20"/>
  <c r="O35" i="20" s="1"/>
  <c r="AE35" i="20" s="1"/>
  <c r="M34" i="20"/>
  <c r="O34" i="20" s="1"/>
  <c r="M33" i="20"/>
  <c r="M32" i="20"/>
  <c r="O32" i="20" s="1"/>
  <c r="M31" i="20"/>
  <c r="O31" i="20" s="1"/>
  <c r="AE31" i="20" s="1"/>
  <c r="M30" i="20"/>
  <c r="O30" i="20" s="1"/>
  <c r="M29" i="20"/>
  <c r="M28" i="20"/>
  <c r="O28" i="20" s="1"/>
  <c r="M27" i="20"/>
  <c r="O27" i="20" s="1"/>
  <c r="AE27" i="20" s="1"/>
  <c r="M26" i="20"/>
  <c r="O26" i="20" s="1"/>
  <c r="M25" i="20"/>
  <c r="M24" i="20"/>
  <c r="O24" i="20" s="1"/>
  <c r="M23" i="20"/>
  <c r="O23" i="20" s="1"/>
  <c r="AE23" i="20" s="1"/>
  <c r="M22" i="20"/>
  <c r="O22" i="20" s="1"/>
  <c r="M21" i="20"/>
  <c r="M20" i="20"/>
  <c r="O20" i="20" s="1"/>
  <c r="M19" i="20"/>
  <c r="O19" i="20" s="1"/>
  <c r="M18" i="20"/>
  <c r="O18" i="20" s="1"/>
  <c r="M17" i="20"/>
  <c r="I61" i="20"/>
  <c r="J61" i="20" s="1"/>
  <c r="K61" i="20" s="1"/>
  <c r="I60" i="20"/>
  <c r="J60" i="20" s="1"/>
  <c r="K60" i="20" s="1"/>
  <c r="AD60" i="20" s="1"/>
  <c r="I59" i="20"/>
  <c r="J59" i="20" s="1"/>
  <c r="K59" i="20" s="1"/>
  <c r="I58" i="20"/>
  <c r="J58" i="20" s="1"/>
  <c r="K58" i="20" s="1"/>
  <c r="AD58" i="20" s="1"/>
  <c r="I57" i="20"/>
  <c r="J57" i="20" s="1"/>
  <c r="K57" i="20" s="1"/>
  <c r="P57" i="20" s="1"/>
  <c r="J56" i="20"/>
  <c r="K56" i="20" s="1"/>
  <c r="I56" i="20"/>
  <c r="I55" i="20"/>
  <c r="J55" i="20" s="1"/>
  <c r="K55" i="20" s="1"/>
  <c r="AD55" i="20" s="1"/>
  <c r="I54" i="20"/>
  <c r="J54" i="20" s="1"/>
  <c r="K54" i="20" s="1"/>
  <c r="AD54" i="20" s="1"/>
  <c r="I53" i="20"/>
  <c r="J53" i="20" s="1"/>
  <c r="K53" i="20" s="1"/>
  <c r="I52" i="20"/>
  <c r="J52" i="20" s="1"/>
  <c r="K52" i="20" s="1"/>
  <c r="AD52" i="20" s="1"/>
  <c r="I51" i="20"/>
  <c r="J51" i="20" s="1"/>
  <c r="K51" i="20" s="1"/>
  <c r="I50" i="20"/>
  <c r="J50" i="20" s="1"/>
  <c r="K50" i="20" s="1"/>
  <c r="AD50" i="20" s="1"/>
  <c r="I49" i="20"/>
  <c r="J49" i="20" s="1"/>
  <c r="K49" i="20" s="1"/>
  <c r="J48" i="20"/>
  <c r="K48" i="20" s="1"/>
  <c r="AD48" i="20" s="1"/>
  <c r="I48" i="20"/>
  <c r="I47" i="20"/>
  <c r="J47" i="20" s="1"/>
  <c r="K47" i="20" s="1"/>
  <c r="AD47" i="20" s="1"/>
  <c r="I46" i="20"/>
  <c r="J46" i="20" s="1"/>
  <c r="K46" i="20" s="1"/>
  <c r="I45" i="20"/>
  <c r="J45" i="20" s="1"/>
  <c r="K45" i="20" s="1"/>
  <c r="I44" i="20"/>
  <c r="J44" i="20" s="1"/>
  <c r="K44" i="20" s="1"/>
  <c r="AD44" i="20" s="1"/>
  <c r="I43" i="20"/>
  <c r="J43" i="20" s="1"/>
  <c r="K43" i="20" s="1"/>
  <c r="I42" i="20"/>
  <c r="J42" i="20" s="1"/>
  <c r="K42" i="20" s="1"/>
  <c r="AD42" i="20" s="1"/>
  <c r="I41" i="20"/>
  <c r="J41" i="20" s="1"/>
  <c r="K41" i="20" s="1"/>
  <c r="P41" i="20" s="1"/>
  <c r="J40" i="20"/>
  <c r="K40" i="20" s="1"/>
  <c r="I40" i="20"/>
  <c r="I39" i="20"/>
  <c r="J39" i="20" s="1"/>
  <c r="K39" i="20" s="1"/>
  <c r="AD39" i="20" s="1"/>
  <c r="I38" i="20"/>
  <c r="J38" i="20" s="1"/>
  <c r="K38" i="20" s="1"/>
  <c r="AD38" i="20" s="1"/>
  <c r="I37" i="20"/>
  <c r="J37" i="20" s="1"/>
  <c r="K37" i="20" s="1"/>
  <c r="I36" i="20"/>
  <c r="J36" i="20" s="1"/>
  <c r="K36" i="20" s="1"/>
  <c r="AD36" i="20" s="1"/>
  <c r="I35" i="20"/>
  <c r="J35" i="20" s="1"/>
  <c r="K35" i="20" s="1"/>
  <c r="I34" i="20"/>
  <c r="J34" i="20" s="1"/>
  <c r="K34" i="20" s="1"/>
  <c r="AD34" i="20" s="1"/>
  <c r="I33" i="20"/>
  <c r="J33" i="20" s="1"/>
  <c r="K33" i="20" s="1"/>
  <c r="J32" i="20"/>
  <c r="K32" i="20" s="1"/>
  <c r="AD32" i="20" s="1"/>
  <c r="I32" i="20"/>
  <c r="I31" i="20"/>
  <c r="J31" i="20" s="1"/>
  <c r="K31" i="20" s="1"/>
  <c r="AD31" i="20" s="1"/>
  <c r="I30" i="20"/>
  <c r="J30" i="20" s="1"/>
  <c r="K30" i="20" s="1"/>
  <c r="I29" i="20"/>
  <c r="J29" i="20" s="1"/>
  <c r="K29" i="20" s="1"/>
  <c r="I28" i="20"/>
  <c r="J28" i="20" s="1"/>
  <c r="K28" i="20" s="1"/>
  <c r="AD28" i="20" s="1"/>
  <c r="I27" i="20"/>
  <c r="J27" i="20" s="1"/>
  <c r="K27" i="20" s="1"/>
  <c r="I26" i="20"/>
  <c r="J26" i="20" s="1"/>
  <c r="K26" i="20" s="1"/>
  <c r="AD26" i="20" s="1"/>
  <c r="I25" i="20"/>
  <c r="J25" i="20" s="1"/>
  <c r="K25" i="20" s="1"/>
  <c r="P25" i="20" s="1"/>
  <c r="J24" i="20"/>
  <c r="K24" i="20" s="1"/>
  <c r="I24" i="20"/>
  <c r="I23" i="20"/>
  <c r="J23" i="20" s="1"/>
  <c r="K23" i="20" s="1"/>
  <c r="AD23" i="20" s="1"/>
  <c r="I22" i="20"/>
  <c r="J22" i="20" s="1"/>
  <c r="K22" i="20" s="1"/>
  <c r="AD22" i="20" s="1"/>
  <c r="I21" i="20"/>
  <c r="J21" i="20" s="1"/>
  <c r="K21" i="20" s="1"/>
  <c r="I20" i="20"/>
  <c r="J20" i="20" s="1"/>
  <c r="K20" i="20" s="1"/>
  <c r="AD20" i="20" s="1"/>
  <c r="I19" i="20"/>
  <c r="J19" i="20" s="1"/>
  <c r="K19" i="20" s="1"/>
  <c r="I18" i="20"/>
  <c r="J18" i="20" s="1"/>
  <c r="K18" i="20" s="1"/>
  <c r="AD18" i="20" s="1"/>
  <c r="I17" i="20"/>
  <c r="J17" i="20" s="1"/>
  <c r="K17" i="20" s="1"/>
  <c r="I16" i="20"/>
  <c r="J16" i="20" s="1"/>
  <c r="K16" i="20" s="1"/>
  <c r="P18" i="20" l="1"/>
  <c r="AE18" i="20"/>
  <c r="AF18" i="20" s="1"/>
  <c r="AG18" i="20" s="1"/>
  <c r="P22" i="20"/>
  <c r="AE22" i="20"/>
  <c r="AF22" i="20" s="1"/>
  <c r="AG22" i="20" s="1"/>
  <c r="P26" i="20"/>
  <c r="AE26" i="20"/>
  <c r="AF26" i="20" s="1"/>
  <c r="AG26" i="20" s="1"/>
  <c r="P30" i="20"/>
  <c r="AE30" i="20"/>
  <c r="AF30" i="20" s="1"/>
  <c r="AG30" i="20" s="1"/>
  <c r="P34" i="20"/>
  <c r="AE34" i="20"/>
  <c r="AF34" i="20" s="1"/>
  <c r="AG34" i="20" s="1"/>
  <c r="P38" i="20"/>
  <c r="AE38" i="20"/>
  <c r="AF38" i="20" s="1"/>
  <c r="AG38" i="20" s="1"/>
  <c r="P42" i="20"/>
  <c r="AE42" i="20"/>
  <c r="AF42" i="20" s="1"/>
  <c r="AG42" i="20" s="1"/>
  <c r="P46" i="20"/>
  <c r="AE46" i="20"/>
  <c r="P50" i="20"/>
  <c r="AE50" i="20"/>
  <c r="AF50" i="20" s="1"/>
  <c r="AG50" i="20" s="1"/>
  <c r="P54" i="20"/>
  <c r="AE54" i="20"/>
  <c r="AF54" i="20" s="1"/>
  <c r="AG54" i="20" s="1"/>
  <c r="P58" i="20"/>
  <c r="AE58" i="20"/>
  <c r="AF58" i="20" s="1"/>
  <c r="AG58" i="20" s="1"/>
  <c r="AF20" i="20"/>
  <c r="AD29" i="20"/>
  <c r="AF29" i="20" s="1"/>
  <c r="AG29" i="20" s="1"/>
  <c r="P29" i="20"/>
  <c r="AF32" i="20"/>
  <c r="AF36" i="20"/>
  <c r="AG36" i="20" s="1"/>
  <c r="AD45" i="20"/>
  <c r="AF45" i="20" s="1"/>
  <c r="AG45" i="20" s="1"/>
  <c r="P45" i="20"/>
  <c r="AF48" i="20"/>
  <c r="AF52" i="20"/>
  <c r="AD61" i="20"/>
  <c r="AF61" i="20" s="1"/>
  <c r="AG61" i="20" s="1"/>
  <c r="P61" i="20"/>
  <c r="P20" i="20"/>
  <c r="AE20" i="20"/>
  <c r="P24" i="20"/>
  <c r="AE24" i="20"/>
  <c r="P28" i="20"/>
  <c r="AE28" i="20"/>
  <c r="P32" i="20"/>
  <c r="AE32" i="20"/>
  <c r="P36" i="20"/>
  <c r="AE36" i="20"/>
  <c r="P40" i="20"/>
  <c r="AE40" i="20"/>
  <c r="P44" i="20"/>
  <c r="AE44" i="20"/>
  <c r="P48" i="20"/>
  <c r="AE48" i="20"/>
  <c r="P52" i="20"/>
  <c r="AE52" i="20"/>
  <c r="P56" i="20"/>
  <c r="AE56" i="20"/>
  <c r="P60" i="20"/>
  <c r="AE60" i="20"/>
  <c r="AA19" i="20"/>
  <c r="AA22" i="20"/>
  <c r="AA40" i="20"/>
  <c r="AA56" i="20"/>
  <c r="AA20" i="20"/>
  <c r="AD17" i="20"/>
  <c r="AF17" i="20" s="1"/>
  <c r="AD21" i="20"/>
  <c r="AF21" i="20" s="1"/>
  <c r="AG21" i="20" s="1"/>
  <c r="P21" i="20"/>
  <c r="AD24" i="20"/>
  <c r="AF24" i="20" s="1"/>
  <c r="AF28" i="20"/>
  <c r="AD33" i="20"/>
  <c r="AF33" i="20" s="1"/>
  <c r="AD37" i="20"/>
  <c r="AF37" i="20" s="1"/>
  <c r="AG37" i="20" s="1"/>
  <c r="P37" i="20"/>
  <c r="AD40" i="20"/>
  <c r="AF40" i="20" s="1"/>
  <c r="AF44" i="20"/>
  <c r="AG44" i="20" s="1"/>
  <c r="AD49" i="20"/>
  <c r="AF49" i="20" s="1"/>
  <c r="AD53" i="20"/>
  <c r="AF53" i="20" s="1"/>
  <c r="AG53" i="20" s="1"/>
  <c r="P53" i="20"/>
  <c r="AD56" i="20"/>
  <c r="AF56" i="20" s="1"/>
  <c r="AF60" i="20"/>
  <c r="AE19" i="20"/>
  <c r="AF23" i="20"/>
  <c r="AG23" i="20" s="1"/>
  <c r="AF31" i="20"/>
  <c r="AF39" i="20"/>
  <c r="AF47" i="20"/>
  <c r="AG47" i="20" s="1"/>
  <c r="AF55" i="20"/>
  <c r="AG55" i="20" s="1"/>
  <c r="P23" i="20"/>
  <c r="P31" i="20"/>
  <c r="P39" i="20"/>
  <c r="P47" i="20"/>
  <c r="P55" i="20"/>
  <c r="AD25" i="20"/>
  <c r="AF25" i="20" s="1"/>
  <c r="AA25" i="20"/>
  <c r="AD41" i="20"/>
  <c r="AF41" i="20" s="1"/>
  <c r="AG41" i="20" s="1"/>
  <c r="AA41" i="20"/>
  <c r="AF46" i="20"/>
  <c r="AD57" i="20"/>
  <c r="AF57" i="20" s="1"/>
  <c r="AA57" i="20"/>
  <c r="AA24" i="20"/>
  <c r="AA28" i="20"/>
  <c r="AA32" i="20"/>
  <c r="AA36" i="20"/>
  <c r="AA44" i="20"/>
  <c r="AA52" i="20"/>
  <c r="AA60" i="20"/>
  <c r="AD19" i="20"/>
  <c r="AD27" i="20"/>
  <c r="AF27" i="20" s="1"/>
  <c r="AG27" i="20" s="1"/>
  <c r="AD35" i="20"/>
  <c r="AF35" i="20" s="1"/>
  <c r="AG35" i="20" s="1"/>
  <c r="AD43" i="20"/>
  <c r="AF43" i="20" s="1"/>
  <c r="AG43" i="20" s="1"/>
  <c r="AD51" i="20"/>
  <c r="AF51" i="20" s="1"/>
  <c r="AG51" i="20" s="1"/>
  <c r="AD59" i="20"/>
  <c r="AF59" i="20" s="1"/>
  <c r="AG59" i="20" s="1"/>
  <c r="P17" i="20"/>
  <c r="P33" i="20"/>
  <c r="P49" i="20"/>
  <c r="AA39" i="20"/>
  <c r="AA47" i="20"/>
  <c r="AA55" i="20"/>
  <c r="AA34" i="20"/>
  <c r="AA38" i="20"/>
  <c r="AA42" i="20"/>
  <c r="AA46" i="20"/>
  <c r="AA50" i="20"/>
  <c r="AA54" i="20"/>
  <c r="AA58" i="20"/>
  <c r="AG24" i="20"/>
  <c r="AG40" i="20"/>
  <c r="AG56" i="20"/>
  <c r="AG20" i="20"/>
  <c r="AG25" i="20"/>
  <c r="AG31" i="20"/>
  <c r="AG46" i="20"/>
  <c r="AG52" i="20"/>
  <c r="AG57" i="20"/>
  <c r="AG17" i="20"/>
  <c r="AG28" i="20"/>
  <c r="AG33" i="20"/>
  <c r="AG39" i="20"/>
  <c r="AG49" i="20"/>
  <c r="AG60" i="20"/>
  <c r="AG32" i="20"/>
  <c r="AG48" i="20"/>
  <c r="AF19" i="20" l="1"/>
  <c r="AG19" i="20" s="1"/>
  <c r="AC16" i="20"/>
  <c r="AC62" i="20" s="1"/>
  <c r="X16" i="20"/>
  <c r="Z16" i="20" s="1"/>
  <c r="Z62" i="20" s="1"/>
  <c r="T16" i="20"/>
  <c r="U16" i="20" s="1"/>
  <c r="V16" i="20" s="1"/>
  <c r="M16" i="20"/>
  <c r="O16" i="20" s="1"/>
  <c r="O62" i="20" s="1"/>
  <c r="T62" i="20"/>
  <c r="I62" i="20"/>
  <c r="AE16" i="20" l="1"/>
  <c r="AE62" i="20" s="1"/>
  <c r="AD16" i="20"/>
  <c r="AA16" i="20"/>
  <c r="AA62" i="20" s="1"/>
  <c r="V62" i="20"/>
  <c r="U62" i="20"/>
  <c r="J62" i="20"/>
  <c r="A17" i="20"/>
  <c r="AF16" i="20" l="1"/>
  <c r="AG16" i="20" s="1"/>
  <c r="AD62" i="20"/>
  <c r="K62" i="20"/>
  <c r="P16" i="20"/>
  <c r="P62" i="20" s="1"/>
  <c r="A18" i="20"/>
  <c r="A19" i="20" s="1"/>
  <c r="A20" i="20" s="1"/>
  <c r="A21" i="20" s="1"/>
  <c r="A22" i="20" s="1"/>
  <c r="A23" i="20" s="1"/>
  <c r="A24" i="20" s="1"/>
  <c r="A25" i="20" s="1"/>
  <c r="A26" i="20" s="1"/>
  <c r="A27" i="20" s="1"/>
  <c r="A28" i="20" s="1"/>
  <c r="A29" i="20" s="1"/>
  <c r="A30" i="20" s="1"/>
  <c r="A31" i="20" s="1"/>
  <c r="A32" i="20" s="1"/>
  <c r="A33" i="20" s="1"/>
  <c r="A34" i="20" s="1"/>
  <c r="A35" i="20" s="1"/>
  <c r="A36" i="20" s="1"/>
  <c r="A37" i="20" s="1"/>
  <c r="A38" i="20" s="1"/>
  <c r="A39" i="20" s="1"/>
  <c r="A40" i="20" s="1"/>
  <c r="A41" i="20" s="1"/>
  <c r="A42" i="20" s="1"/>
  <c r="A43" i="20" s="1"/>
  <c r="A44" i="20" s="1"/>
  <c r="A45" i="20" s="1"/>
  <c r="A46" i="20" s="1"/>
  <c r="A47" i="20" s="1"/>
  <c r="A48" i="20" s="1"/>
  <c r="A49" i="20" s="1"/>
  <c r="A50" i="20" s="1"/>
  <c r="A51" i="20" s="1"/>
  <c r="A52" i="20" s="1"/>
  <c r="A53" i="20" s="1"/>
  <c r="A54" i="20" s="1"/>
  <c r="A55" i="20" s="1"/>
  <c r="A56" i="20" s="1"/>
  <c r="A57" i="20" s="1"/>
  <c r="A58" i="20" s="1"/>
  <c r="A59" i="20" s="1"/>
  <c r="A60" i="20" s="1"/>
  <c r="A61" i="20" s="1"/>
  <c r="U18" i="15"/>
  <c r="S18" i="6"/>
  <c r="AF62" i="20" l="1"/>
  <c r="AG62" i="20" s="1"/>
  <c r="F9" i="6" l="1"/>
  <c r="L31" i="18" l="1"/>
  <c r="D29" i="18"/>
  <c r="G28" i="18"/>
  <c r="K28" i="18" s="1"/>
  <c r="F28" i="18"/>
  <c r="G27" i="18"/>
  <c r="J27" i="18" s="1"/>
  <c r="F27" i="18"/>
  <c r="R25" i="18"/>
  <c r="L25" i="18"/>
  <c r="D23" i="18"/>
  <c r="G22" i="18"/>
  <c r="K22" i="18" s="1"/>
  <c r="F22" i="18"/>
  <c r="G21" i="18"/>
  <c r="J21" i="18" s="1"/>
  <c r="F21" i="18"/>
  <c r="L19" i="18"/>
  <c r="D17" i="18"/>
  <c r="G16" i="18"/>
  <c r="H16" i="18" s="1"/>
  <c r="F16" i="18"/>
  <c r="G15" i="18"/>
  <c r="H15" i="18" s="1"/>
  <c r="F15" i="18"/>
  <c r="L13" i="18"/>
  <c r="X11" i="18"/>
  <c r="Y11" i="18" s="1"/>
  <c r="Q23" i="18" s="1"/>
  <c r="D11" i="18"/>
  <c r="F10" i="18"/>
  <c r="G10" i="18" s="1"/>
  <c r="J10" i="18" s="1"/>
  <c r="X9" i="18"/>
  <c r="F9" i="18"/>
  <c r="X11" i="17"/>
  <c r="X9" i="17"/>
  <c r="X11" i="16"/>
  <c r="X9" i="16"/>
  <c r="X12" i="17" l="1"/>
  <c r="X12" i="16"/>
  <c r="G24" i="18"/>
  <c r="J28" i="18"/>
  <c r="J29" i="18" s="1"/>
  <c r="I28" i="18"/>
  <c r="X12" i="18"/>
  <c r="H28" i="18"/>
  <c r="G23" i="18"/>
  <c r="H22" i="18"/>
  <c r="H17" i="18"/>
  <c r="F11" i="18"/>
  <c r="P11" i="18"/>
  <c r="R11" i="18" s="1"/>
  <c r="S11" i="18" s="1"/>
  <c r="I21" i="18"/>
  <c r="J15" i="18"/>
  <c r="G18" i="18"/>
  <c r="I15" i="18"/>
  <c r="H18" i="18"/>
  <c r="J30" i="18"/>
  <c r="K27" i="18"/>
  <c r="K29" i="18" s="1"/>
  <c r="G29" i="18"/>
  <c r="G9" i="18"/>
  <c r="H10" i="18"/>
  <c r="K15" i="18"/>
  <c r="I16" i="18"/>
  <c r="I18" i="18" s="1"/>
  <c r="G17" i="18"/>
  <c r="K21" i="18"/>
  <c r="K23" i="18" s="1"/>
  <c r="I22" i="18"/>
  <c r="R26" i="18"/>
  <c r="H27" i="18"/>
  <c r="H29" i="18" s="1"/>
  <c r="G30" i="18"/>
  <c r="P9" i="18"/>
  <c r="R9" i="18" s="1"/>
  <c r="S9" i="18" s="1"/>
  <c r="S17" i="18" s="1"/>
  <c r="Y9" i="18"/>
  <c r="Q18" i="18" s="1"/>
  <c r="I10" i="18"/>
  <c r="J16" i="18"/>
  <c r="H21" i="18"/>
  <c r="J22" i="18"/>
  <c r="J24" i="18" s="1"/>
  <c r="I27" i="18"/>
  <c r="I29" i="18" s="1"/>
  <c r="K10" i="18"/>
  <c r="K16" i="18"/>
  <c r="T11" i="18" l="1"/>
  <c r="S22" i="18"/>
  <c r="W11" i="18"/>
  <c r="U11" i="18"/>
  <c r="J23" i="18"/>
  <c r="H23" i="18"/>
  <c r="K17" i="18"/>
  <c r="J17" i="18"/>
  <c r="V11" i="18"/>
  <c r="S24" i="18"/>
  <c r="S25" i="18" s="1"/>
  <c r="J18" i="18"/>
  <c r="V9" i="18"/>
  <c r="W9" i="18"/>
  <c r="S19" i="18"/>
  <c r="U9" i="18"/>
  <c r="T9" i="18"/>
  <c r="T17" i="18" s="1"/>
  <c r="G11" i="18"/>
  <c r="I9" i="18"/>
  <c r="I11" i="18" s="1"/>
  <c r="H9" i="18"/>
  <c r="H11" i="18" s="1"/>
  <c r="K9" i="18"/>
  <c r="K11" i="18" s="1"/>
  <c r="J9" i="18"/>
  <c r="I24" i="18"/>
  <c r="I23" i="18"/>
  <c r="H24" i="18"/>
  <c r="I30" i="18"/>
  <c r="I17" i="18"/>
  <c r="G12" i="18"/>
  <c r="K18" i="18"/>
  <c r="K30" i="18"/>
  <c r="K24" i="18"/>
  <c r="H30" i="18"/>
  <c r="V17" i="18" l="1"/>
  <c r="V19" i="18" s="1"/>
  <c r="U17" i="18"/>
  <c r="U19" i="18" s="1"/>
  <c r="W17" i="18"/>
  <c r="W19" i="18" s="1"/>
  <c r="V22" i="18"/>
  <c r="V24" i="18" s="1"/>
  <c r="V25" i="18" s="1"/>
  <c r="U22" i="18"/>
  <c r="U24" i="18" s="1"/>
  <c r="U25" i="18" s="1"/>
  <c r="W22" i="18"/>
  <c r="W24" i="18" s="1"/>
  <c r="W25" i="18" s="1"/>
  <c r="T22" i="18"/>
  <c r="T24" i="18" s="1"/>
  <c r="T25" i="18" s="1"/>
  <c r="T19" i="18"/>
  <c r="R30" i="18"/>
  <c r="J11" i="18"/>
  <c r="J12" i="18"/>
  <c r="H12" i="18"/>
  <c r="S26" i="18"/>
  <c r="I12" i="18"/>
  <c r="K12" i="18"/>
  <c r="U26" i="18" l="1"/>
  <c r="V26" i="18"/>
  <c r="W26" i="18"/>
  <c r="T26" i="18"/>
  <c r="L31" i="17"/>
  <c r="D29" i="17"/>
  <c r="G28" i="17"/>
  <c r="H28" i="17" s="1"/>
  <c r="F28" i="17"/>
  <c r="G27" i="17"/>
  <c r="J27" i="17" s="1"/>
  <c r="F27" i="17"/>
  <c r="R25" i="17"/>
  <c r="L25" i="17"/>
  <c r="D23" i="17"/>
  <c r="G22" i="17"/>
  <c r="K22" i="17" s="1"/>
  <c r="F22" i="17"/>
  <c r="G21" i="17"/>
  <c r="I21" i="17" s="1"/>
  <c r="F21" i="17"/>
  <c r="L19" i="17"/>
  <c r="D17" i="17"/>
  <c r="G16" i="17"/>
  <c r="J16" i="17" s="1"/>
  <c r="F16" i="17"/>
  <c r="G15" i="17"/>
  <c r="I15" i="17" s="1"/>
  <c r="F15" i="17"/>
  <c r="L13" i="17"/>
  <c r="Y11" i="17"/>
  <c r="Q23" i="17" s="1"/>
  <c r="D11" i="17"/>
  <c r="F10" i="17"/>
  <c r="Y9" i="17"/>
  <c r="Q18" i="17" s="1"/>
  <c r="F9" i="17"/>
  <c r="X11" i="6"/>
  <c r="Y11" i="6" s="1"/>
  <c r="Q23" i="6" s="1"/>
  <c r="X9" i="6"/>
  <c r="Y9" i="6" s="1"/>
  <c r="P11" i="6"/>
  <c r="R11" i="6" s="1"/>
  <c r="S11" i="6" s="1"/>
  <c r="S22" i="6" s="1"/>
  <c r="P9" i="6"/>
  <c r="R9" i="6" s="1"/>
  <c r="L31" i="16"/>
  <c r="D29" i="16"/>
  <c r="G28" i="16"/>
  <c r="K28" i="16" s="1"/>
  <c r="F28" i="16"/>
  <c r="G27" i="16"/>
  <c r="J27" i="16" s="1"/>
  <c r="F27" i="16"/>
  <c r="R25" i="16"/>
  <c r="L25" i="16"/>
  <c r="D23" i="16"/>
  <c r="G22" i="16"/>
  <c r="K22" i="16" s="1"/>
  <c r="F22" i="16"/>
  <c r="G21" i="16"/>
  <c r="F21" i="16"/>
  <c r="L19" i="16"/>
  <c r="D17" i="16"/>
  <c r="G16" i="16"/>
  <c r="H16" i="16" s="1"/>
  <c r="F16" i="16"/>
  <c r="G15" i="16"/>
  <c r="H15" i="16" s="1"/>
  <c r="F15" i="16"/>
  <c r="L13" i="16"/>
  <c r="Y11" i="16"/>
  <c r="Q23" i="16" s="1"/>
  <c r="D11" i="16"/>
  <c r="F10" i="16"/>
  <c r="P11" i="16" s="1"/>
  <c r="Y9" i="16"/>
  <c r="Q18" i="16" s="1"/>
  <c r="F9" i="16"/>
  <c r="G9" i="16" s="1"/>
  <c r="R25" i="6"/>
  <c r="R26" i="6" s="1"/>
  <c r="O11" i="15"/>
  <c r="D23" i="15" s="1"/>
  <c r="O9" i="15"/>
  <c r="D18" i="15" s="1"/>
  <c r="R11" i="16" l="1"/>
  <c r="S11" i="16" s="1"/>
  <c r="J28" i="16"/>
  <c r="I28" i="16"/>
  <c r="G24" i="16"/>
  <c r="H28" i="16"/>
  <c r="J15" i="17"/>
  <c r="J17" i="17" s="1"/>
  <c r="G10" i="17"/>
  <c r="J10" i="17" s="1"/>
  <c r="P11" i="17"/>
  <c r="R11" i="17" s="1"/>
  <c r="S11" i="17" s="1"/>
  <c r="J21" i="16"/>
  <c r="G10" i="16"/>
  <c r="K10" i="16" s="1"/>
  <c r="Q18" i="6"/>
  <c r="X12" i="6"/>
  <c r="P9" i="16"/>
  <c r="R9" i="16" s="1"/>
  <c r="S9" i="16" s="1"/>
  <c r="J22" i="17"/>
  <c r="H22" i="17"/>
  <c r="H16" i="17"/>
  <c r="F11" i="17"/>
  <c r="I27" i="17"/>
  <c r="H21" i="17"/>
  <c r="G24" i="17"/>
  <c r="G23" i="17"/>
  <c r="J21" i="17"/>
  <c r="J23" i="17" s="1"/>
  <c r="G18" i="17"/>
  <c r="H15" i="17"/>
  <c r="H17" i="17" s="1"/>
  <c r="P9" i="17"/>
  <c r="R9" i="17" s="1"/>
  <c r="S9" i="17" s="1"/>
  <c r="K27" i="17"/>
  <c r="I28" i="17"/>
  <c r="G29" i="17"/>
  <c r="G9" i="17"/>
  <c r="K15" i="17"/>
  <c r="I16" i="17"/>
  <c r="I18" i="17" s="1"/>
  <c r="G17" i="17"/>
  <c r="K21" i="17"/>
  <c r="K23" i="17" s="1"/>
  <c r="I22" i="17"/>
  <c r="I24" i="17" s="1"/>
  <c r="R26" i="17"/>
  <c r="H27" i="17"/>
  <c r="H29" i="17" s="1"/>
  <c r="J28" i="17"/>
  <c r="J30" i="17" s="1"/>
  <c r="G30" i="17"/>
  <c r="K28" i="17"/>
  <c r="K16" i="17"/>
  <c r="G23" i="16"/>
  <c r="H22" i="16"/>
  <c r="I21" i="16"/>
  <c r="J15" i="16"/>
  <c r="G18" i="16"/>
  <c r="I15" i="16"/>
  <c r="H18" i="16"/>
  <c r="H17" i="16"/>
  <c r="J29" i="16"/>
  <c r="J30" i="16"/>
  <c r="H9" i="16"/>
  <c r="I9" i="16"/>
  <c r="G11" i="16"/>
  <c r="K9" i="16"/>
  <c r="J9" i="16"/>
  <c r="K27" i="16"/>
  <c r="K29" i="16" s="1"/>
  <c r="G29" i="16"/>
  <c r="T9" i="16"/>
  <c r="I10" i="16"/>
  <c r="F11" i="16"/>
  <c r="K15" i="16"/>
  <c r="I16" i="16"/>
  <c r="G17" i="16"/>
  <c r="K21" i="16"/>
  <c r="K23" i="16" s="1"/>
  <c r="I22" i="16"/>
  <c r="R26" i="16"/>
  <c r="H27" i="16"/>
  <c r="G30" i="16"/>
  <c r="J16" i="16"/>
  <c r="H21" i="16"/>
  <c r="H23" i="16" s="1"/>
  <c r="J22" i="16"/>
  <c r="I27" i="16"/>
  <c r="I29" i="16" s="1"/>
  <c r="K16" i="16"/>
  <c r="V11" i="16" l="1"/>
  <c r="T11" i="16"/>
  <c r="T22" i="16" s="1"/>
  <c r="T24" i="16" s="1"/>
  <c r="T25" i="16" s="1"/>
  <c r="T26" i="16" s="1"/>
  <c r="S22" i="16"/>
  <c r="U11" i="16"/>
  <c r="W11" i="16"/>
  <c r="T19" i="16"/>
  <c r="T17" i="16"/>
  <c r="T9" i="17"/>
  <c r="S17" i="17"/>
  <c r="V9" i="16"/>
  <c r="S17" i="16"/>
  <c r="W9" i="16"/>
  <c r="I18" i="16"/>
  <c r="H10" i="17"/>
  <c r="W11" i="17"/>
  <c r="S22" i="17"/>
  <c r="S24" i="17" s="1"/>
  <c r="S25" i="17" s="1"/>
  <c r="U22" i="16"/>
  <c r="U24" i="16" s="1"/>
  <c r="U25" i="16" s="1"/>
  <c r="W22" i="16"/>
  <c r="W24" i="16" s="1"/>
  <c r="W25" i="16" s="1"/>
  <c r="V22" i="16"/>
  <c r="V24" i="16" s="1"/>
  <c r="V25" i="16" s="1"/>
  <c r="K10" i="17"/>
  <c r="I30" i="17"/>
  <c r="I10" i="17"/>
  <c r="U11" i="17"/>
  <c r="T11" i="17"/>
  <c r="V11" i="17"/>
  <c r="J24" i="16"/>
  <c r="H10" i="16"/>
  <c r="H11" i="16" s="1"/>
  <c r="G12" i="16"/>
  <c r="H29" i="16"/>
  <c r="K11" i="16"/>
  <c r="J10" i="16"/>
  <c r="J11" i="16" s="1"/>
  <c r="J18" i="17"/>
  <c r="K18" i="17"/>
  <c r="J18" i="16"/>
  <c r="U9" i="17"/>
  <c r="S19" i="17"/>
  <c r="S19" i="16"/>
  <c r="U9" i="16"/>
  <c r="I12" i="16"/>
  <c r="K29" i="17"/>
  <c r="I23" i="17"/>
  <c r="H23" i="17"/>
  <c r="J24" i="17"/>
  <c r="H24" i="17"/>
  <c r="H18" i="17"/>
  <c r="W9" i="17"/>
  <c r="V9" i="17"/>
  <c r="K30" i="17"/>
  <c r="I9" i="17"/>
  <c r="G11" i="17"/>
  <c r="K9" i="17"/>
  <c r="K11" i="17" s="1"/>
  <c r="J9" i="17"/>
  <c r="J11" i="17" s="1"/>
  <c r="H9" i="17"/>
  <c r="H11" i="17" s="1"/>
  <c r="J29" i="17"/>
  <c r="I17" i="17"/>
  <c r="G12" i="17"/>
  <c r="H30" i="17"/>
  <c r="K17" i="17"/>
  <c r="I29" i="17"/>
  <c r="K24" i="17"/>
  <c r="J23" i="16"/>
  <c r="H30" i="16"/>
  <c r="H24" i="16"/>
  <c r="K24" i="16"/>
  <c r="K18" i="16"/>
  <c r="K12" i="16"/>
  <c r="S24" i="16"/>
  <c r="S25" i="16" s="1"/>
  <c r="I23" i="16"/>
  <c r="I24" i="16"/>
  <c r="K17" i="16"/>
  <c r="K30" i="16"/>
  <c r="I11" i="16"/>
  <c r="I17" i="16"/>
  <c r="J17" i="16"/>
  <c r="H12" i="16"/>
  <c r="I30" i="16"/>
  <c r="V17" i="17" l="1"/>
  <c r="V19" i="17" s="1"/>
  <c r="U17" i="17"/>
  <c r="U19" i="17" s="1"/>
  <c r="W19" i="16"/>
  <c r="W17" i="16"/>
  <c r="V19" i="16"/>
  <c r="V26" i="16" s="1"/>
  <c r="V17" i="16"/>
  <c r="T19" i="17"/>
  <c r="T17" i="17"/>
  <c r="W19" i="17"/>
  <c r="W17" i="17"/>
  <c r="U19" i="16"/>
  <c r="U26" i="16" s="1"/>
  <c r="U17" i="16"/>
  <c r="W26" i="16"/>
  <c r="V22" i="17"/>
  <c r="V24" i="17" s="1"/>
  <c r="V25" i="17" s="1"/>
  <c r="U22" i="17"/>
  <c r="U24" i="17" s="1"/>
  <c r="U25" i="17" s="1"/>
  <c r="W22" i="17"/>
  <c r="W24" i="17" s="1"/>
  <c r="W25" i="17" s="1"/>
  <c r="T22" i="17"/>
  <c r="T24" i="17" s="1"/>
  <c r="T25" i="17" s="1"/>
  <c r="T26" i="17" s="1"/>
  <c r="S26" i="16"/>
  <c r="H12" i="17"/>
  <c r="S26" i="17"/>
  <c r="R30" i="17"/>
  <c r="I11" i="17"/>
  <c r="J12" i="16"/>
  <c r="I12" i="17"/>
  <c r="R30" i="16"/>
  <c r="J12" i="17"/>
  <c r="K12" i="17"/>
  <c r="U26" i="17" l="1"/>
  <c r="W26" i="17"/>
  <c r="V26" i="17"/>
  <c r="S9" i="6"/>
  <c r="S17" i="6" s="1"/>
  <c r="F28" i="6"/>
  <c r="F27" i="6"/>
  <c r="F22" i="6"/>
  <c r="F21" i="6"/>
  <c r="F16" i="6"/>
  <c r="F15" i="6"/>
  <c r="L13" i="6"/>
  <c r="F10" i="6"/>
  <c r="G10" i="6" s="1"/>
  <c r="AD9" i="15"/>
  <c r="S18" i="15" s="1"/>
  <c r="AD11" i="15"/>
  <c r="S23" i="15" s="1"/>
  <c r="T11" i="15"/>
  <c r="U11" i="15" s="1"/>
  <c r="U22" i="15" s="1"/>
  <c r="T9" i="15"/>
  <c r="U9" i="15" s="1"/>
  <c r="U17" i="15" s="1"/>
  <c r="B20" i="15"/>
  <c r="B16" i="15"/>
  <c r="E11" i="15"/>
  <c r="F11" i="15" s="1"/>
  <c r="F22" i="15" s="1"/>
  <c r="E9" i="15"/>
  <c r="F9" i="15" s="1"/>
  <c r="H9" i="15" l="1"/>
  <c r="H17" i="15" s="1"/>
  <c r="F17" i="15"/>
  <c r="W11" i="6"/>
  <c r="W9" i="6"/>
  <c r="S19" i="6"/>
  <c r="V11" i="15"/>
  <c r="V22" i="15" s="1"/>
  <c r="Y11" i="15"/>
  <c r="Y22" i="15" s="1"/>
  <c r="V9" i="15"/>
  <c r="V17" i="15" s="1"/>
  <c r="AA9" i="15"/>
  <c r="AA17" i="15" s="1"/>
  <c r="V11" i="6"/>
  <c r="T11" i="6"/>
  <c r="U11" i="6"/>
  <c r="T9" i="6"/>
  <c r="U9" i="6"/>
  <c r="V9" i="6"/>
  <c r="F11" i="6"/>
  <c r="G9" i="6"/>
  <c r="AB11" i="15"/>
  <c r="X11" i="15"/>
  <c r="X22" i="15" s="1"/>
  <c r="AA11" i="15"/>
  <c r="AA22" i="15" s="1"/>
  <c r="W11" i="15"/>
  <c r="W22" i="15" s="1"/>
  <c r="Z11" i="15"/>
  <c r="Z22" i="15" s="1"/>
  <c r="Z9" i="15"/>
  <c r="Z17" i="15" s="1"/>
  <c r="X9" i="15"/>
  <c r="X17" i="15" s="1"/>
  <c r="Y9" i="15"/>
  <c r="Y17" i="15" s="1"/>
  <c r="W9" i="15"/>
  <c r="W17" i="15" s="1"/>
  <c r="AB9" i="15"/>
  <c r="AB17" i="15" s="1"/>
  <c r="T25" i="15"/>
  <c r="T26" i="15" s="1"/>
  <c r="AC12" i="15"/>
  <c r="K11" i="15"/>
  <c r="K9" i="15"/>
  <c r="N12" i="15"/>
  <c r="E25" i="15"/>
  <c r="K17" i="15" l="1"/>
  <c r="K19" i="15" s="1"/>
  <c r="AB22" i="15"/>
  <c r="AB24" i="15" s="1"/>
  <c r="AB25" i="15" s="1"/>
  <c r="K22" i="15"/>
  <c r="K24" i="15" s="1"/>
  <c r="K25" i="15" s="1"/>
  <c r="W17" i="6"/>
  <c r="W19" i="6" s="1"/>
  <c r="U17" i="6"/>
  <c r="U19" i="6" s="1"/>
  <c r="T17" i="6"/>
  <c r="T19" i="6" s="1"/>
  <c r="V17" i="6"/>
  <c r="V19" i="6" s="1"/>
  <c r="U22" i="6"/>
  <c r="U24" i="6" s="1"/>
  <c r="U25" i="6" s="1"/>
  <c r="T22" i="6"/>
  <c r="T24" i="6" s="1"/>
  <c r="T25" i="6" s="1"/>
  <c r="V22" i="6"/>
  <c r="V24" i="6" s="1"/>
  <c r="V25" i="6" s="1"/>
  <c r="W22" i="6"/>
  <c r="W24" i="6" s="1"/>
  <c r="W25" i="6" s="1"/>
  <c r="S24" i="6"/>
  <c r="S25" i="6" s="1"/>
  <c r="S26" i="6" s="1"/>
  <c r="R30" i="6"/>
  <c r="I9" i="6"/>
  <c r="H9" i="6"/>
  <c r="M11" i="15"/>
  <c r="I9" i="15"/>
  <c r="M9" i="15"/>
  <c r="Y24" i="15"/>
  <c r="Y25" i="15" s="1"/>
  <c r="I11" i="15"/>
  <c r="U19" i="15"/>
  <c r="J11" i="15"/>
  <c r="F19" i="15"/>
  <c r="H19" i="15"/>
  <c r="L9" i="15"/>
  <c r="H11" i="15"/>
  <c r="L11" i="15"/>
  <c r="V24" i="15"/>
  <c r="V25" i="15" s="1"/>
  <c r="X24" i="15"/>
  <c r="X25" i="15" s="1"/>
  <c r="J9" i="15"/>
  <c r="Z24" i="15"/>
  <c r="Z25" i="15" s="1"/>
  <c r="G9" i="15"/>
  <c r="G11" i="15"/>
  <c r="V19" i="15"/>
  <c r="W24" i="15"/>
  <c r="W25" i="15" s="1"/>
  <c r="AA24" i="15"/>
  <c r="AA25" i="15" s="1"/>
  <c r="T30" i="15"/>
  <c r="W19" i="15"/>
  <c r="E26" i="15"/>
  <c r="K26" i="15" l="1"/>
  <c r="J17" i="15"/>
  <c r="J19" i="15" s="1"/>
  <c r="M17" i="15"/>
  <c r="M19" i="15" s="1"/>
  <c r="L17" i="15"/>
  <c r="L19" i="15" s="1"/>
  <c r="I19" i="15"/>
  <c r="I17" i="15"/>
  <c r="G17" i="15"/>
  <c r="G19" i="15" s="1"/>
  <c r="G22" i="15"/>
  <c r="G24" i="15" s="1"/>
  <c r="G25" i="15" s="1"/>
  <c r="M22" i="15"/>
  <c r="M24" i="15" s="1"/>
  <c r="M25" i="15" s="1"/>
  <c r="I22" i="15"/>
  <c r="I24" i="15" s="1"/>
  <c r="I25" i="15" s="1"/>
  <c r="L22" i="15"/>
  <c r="L24" i="15" s="1"/>
  <c r="L25" i="15" s="1"/>
  <c r="H22" i="15"/>
  <c r="H24" i="15" s="1"/>
  <c r="H25" i="15" s="1"/>
  <c r="H26" i="15" s="1"/>
  <c r="J22" i="15"/>
  <c r="J24" i="15" s="1"/>
  <c r="J25" i="15" s="1"/>
  <c r="V26" i="6"/>
  <c r="T26" i="6"/>
  <c r="W26" i="6"/>
  <c r="U26" i="6"/>
  <c r="V26" i="15"/>
  <c r="W26" i="15"/>
  <c r="U24" i="15"/>
  <c r="U25" i="15" s="1"/>
  <c r="U26" i="15" s="1"/>
  <c r="F24" i="15"/>
  <c r="F25" i="15" s="1"/>
  <c r="F26" i="15" s="1"/>
  <c r="E30" i="15"/>
  <c r="X19" i="15"/>
  <c r="X26" i="15" s="1"/>
  <c r="G26" i="15" l="1"/>
  <c r="L26" i="15"/>
  <c r="I26" i="15"/>
  <c r="J26" i="15"/>
  <c r="M26" i="15"/>
  <c r="Y19" i="15"/>
  <c r="Y26" i="15" s="1"/>
  <c r="Z19" i="15" l="1"/>
  <c r="Z26" i="15" s="1"/>
  <c r="AB19" i="15" l="1"/>
  <c r="AB26" i="15" s="1"/>
  <c r="AA19" i="15"/>
  <c r="AA26" i="15" s="1"/>
  <c r="G22" i="6" l="1"/>
  <c r="H22" i="6" s="1"/>
  <c r="G21" i="6"/>
  <c r="K21" i="6" s="1"/>
  <c r="G27" i="6"/>
  <c r="K27" i="6" s="1"/>
  <c r="G28" i="6"/>
  <c r="K28" i="6" s="1"/>
  <c r="G16" i="6"/>
  <c r="H16" i="6" s="1"/>
  <c r="G15" i="6"/>
  <c r="J10" i="6"/>
  <c r="K15" i="6" l="1"/>
  <c r="H15" i="6"/>
  <c r="K22" i="6"/>
  <c r="K9" i="6"/>
  <c r="G11" i="6"/>
  <c r="H10" i="6"/>
  <c r="G12" i="6"/>
  <c r="K16" i="6"/>
  <c r="K10" i="6"/>
  <c r="I10" i="6"/>
  <c r="I16" i="6"/>
  <c r="I22" i="6"/>
  <c r="J9" i="6"/>
  <c r="J28" i="6"/>
  <c r="H28" i="6"/>
  <c r="J22" i="6"/>
  <c r="H21" i="6"/>
  <c r="J21" i="6"/>
  <c r="I21" i="6"/>
  <c r="H27" i="6"/>
  <c r="J27" i="6"/>
  <c r="I27" i="6"/>
  <c r="I28" i="6"/>
  <c r="J16" i="6"/>
  <c r="J15" i="6"/>
  <c r="I15" i="6"/>
  <c r="L31" i="6"/>
  <c r="G30" i="6"/>
  <c r="G29" i="6"/>
  <c r="D29" i="6"/>
  <c r="L25" i="6"/>
  <c r="G24" i="6"/>
  <c r="G23" i="6"/>
  <c r="D23" i="6"/>
  <c r="L19" i="6"/>
  <c r="G18" i="6"/>
  <c r="G17" i="6"/>
  <c r="D17" i="6"/>
  <c r="D11" i="6"/>
  <c r="H29" i="6" l="1"/>
  <c r="H23" i="6"/>
  <c r="H12" i="6"/>
  <c r="H24" i="6"/>
  <c r="H18" i="6"/>
  <c r="H30" i="6"/>
  <c r="H17" i="6"/>
  <c r="H11" i="6"/>
  <c r="I23" i="6" l="1"/>
  <c r="I24" i="6"/>
  <c r="I30" i="6"/>
  <c r="I29" i="6"/>
  <c r="I18" i="6"/>
  <c r="J17" i="6"/>
  <c r="I17" i="6"/>
  <c r="K24" i="6" l="1"/>
  <c r="J23" i="6"/>
  <c r="J24" i="6"/>
  <c r="J29" i="6"/>
  <c r="J30" i="6"/>
  <c r="J18" i="6"/>
  <c r="K18" i="6"/>
  <c r="K23" i="6" l="1"/>
  <c r="K30" i="6"/>
  <c r="K29" i="6"/>
  <c r="K17" i="6"/>
  <c r="I11" i="6" l="1"/>
  <c r="I12" i="6"/>
  <c r="J11" i="6"/>
  <c r="J12" i="6" l="1"/>
  <c r="K11" i="6" l="1"/>
  <c r="K12" i="6"/>
</calcChain>
</file>

<file path=xl/sharedStrings.xml><?xml version="1.0" encoding="utf-8"?>
<sst xmlns="http://schemas.openxmlformats.org/spreadsheetml/2006/main" count="467" uniqueCount="121">
  <si>
    <t>Tip sijalice</t>
  </si>
  <si>
    <t>Živa 80W</t>
  </si>
  <si>
    <t>Živa 125W</t>
  </si>
  <si>
    <t>Živa 250W</t>
  </si>
  <si>
    <t>Živa 400W</t>
  </si>
  <si>
    <t>Snaga [W]</t>
  </si>
  <si>
    <t>RAZLIKA</t>
  </si>
  <si>
    <t>Zamena</t>
  </si>
  <si>
    <t>Usteda %</t>
  </si>
  <si>
    <t>Postojeće stanje</t>
  </si>
  <si>
    <t>LED 50W</t>
  </si>
  <si>
    <t>Usteda u  održavanju %</t>
  </si>
  <si>
    <t>Natrijum VP 70W FMB</t>
  </si>
  <si>
    <t>Natrijum VP 70W ELB</t>
  </si>
  <si>
    <t>Natrijum VP 150W ELB</t>
  </si>
  <si>
    <t>Natrijum VP 150W FMB</t>
  </si>
  <si>
    <t>LED 70</t>
  </si>
  <si>
    <t>Natrijum VP 250W FMB</t>
  </si>
  <si>
    <t>Natrijum VP 250W ELB</t>
  </si>
  <si>
    <t xml:space="preserve"> LED 50W</t>
  </si>
  <si>
    <t>MH 150W</t>
  </si>
  <si>
    <t>MH 250W</t>
  </si>
  <si>
    <t>LED73/740 DM</t>
  </si>
  <si>
    <t>LED110s/640 DM</t>
  </si>
  <si>
    <t>Zamjena</t>
  </si>
  <si>
    <t>%</t>
  </si>
  <si>
    <t>Potrošnja [kWh]</t>
  </si>
  <si>
    <t>NVP 70W Tip:SON-T 70W</t>
  </si>
  <si>
    <t>Razlika u životnom vijeku:</t>
  </si>
  <si>
    <t>Trošak zamjene [EUR]</t>
  </si>
  <si>
    <t>Potrošnja [EUR]</t>
  </si>
  <si>
    <t>Potrošnja el.enrergije:</t>
  </si>
  <si>
    <t>Troškovi održavanja:</t>
  </si>
  <si>
    <t>Eksplatacioni trošak:</t>
  </si>
  <si>
    <t>Investicija:</t>
  </si>
  <si>
    <t>Ukupan trošak:</t>
  </si>
  <si>
    <t>Razlika:</t>
  </si>
  <si>
    <t>Period povrata investicije:</t>
  </si>
  <si>
    <t>god.</t>
  </si>
  <si>
    <t xml:space="preserve">Usteda u  održavanju za 5 god: </t>
  </si>
  <si>
    <t>NVP 150W Tip:SON-T 150W</t>
  </si>
  <si>
    <t>NVP 250W Tip:SON-T 250W</t>
  </si>
  <si>
    <t>Životni vijek [h]</t>
  </si>
  <si>
    <t>Godišnji trošak+investicija LED73/740DM</t>
  </si>
  <si>
    <t>Godišnji trošak Živa 125W</t>
  </si>
  <si>
    <t>Godišnji trošak Živa 250W</t>
  </si>
  <si>
    <t>Godišnji trošak+investicija LED110s/640 DM</t>
  </si>
  <si>
    <t>Godišnja ušteda električne energije:</t>
  </si>
  <si>
    <t>Jedinična snaga [W]</t>
  </si>
  <si>
    <t>Broj kom.</t>
  </si>
  <si>
    <t>Ukupna snaga  [W]</t>
  </si>
  <si>
    <t>Očitati sa dijagrama</t>
  </si>
  <si>
    <t>Period zamjene [god]</t>
  </si>
  <si>
    <t>Životni vjek [h]</t>
  </si>
  <si>
    <t xml:space="preserve">Moguće zamjene Živa 80W </t>
  </si>
  <si>
    <t>MH -70</t>
  </si>
  <si>
    <t xml:space="preserve">ŽIVA  125  W  SE  MIJENJA  SA  LED73 / 740 DM </t>
  </si>
  <si>
    <t xml:space="preserve">ŽIVA  250  W  SE  MIJENJA  SA  LED 110s / 640 DM </t>
  </si>
  <si>
    <t>ŽIVA  80  W  SE  MIJENJA  SA  NVP  70  W</t>
  </si>
  <si>
    <t>Godišnji trošak Živa 80W</t>
  </si>
  <si>
    <t>Godišnji trošak+investicija NVP70W / SON-T70W</t>
  </si>
  <si>
    <t>Period povrata investicije</t>
  </si>
  <si>
    <t xml:space="preserve">Moguće zamjene Živa125W </t>
  </si>
  <si>
    <t>ŽIVA  125  W  SE  MIJENJA  SA  NVP  70  W</t>
  </si>
  <si>
    <t xml:space="preserve">Moguće zamjene Živa 250W </t>
  </si>
  <si>
    <t>ŽIVA  250  W  SE  MIJENJA  SA  NVP  150  W</t>
  </si>
  <si>
    <t>Godišnji trošak+investicija NVP 150W Tip:SON-T 150W</t>
  </si>
  <si>
    <t>LED  100W</t>
  </si>
  <si>
    <t>Godišnji trošak Živa 400W</t>
  </si>
  <si>
    <t>Godišnji trošak+investicijaNVP 250W Tip:SON-T 250W</t>
  </si>
  <si>
    <t>LEGENDA:</t>
  </si>
  <si>
    <t>NVP</t>
  </si>
  <si>
    <t>MH</t>
  </si>
  <si>
    <t>FMB</t>
  </si>
  <si>
    <t>ELB</t>
  </si>
  <si>
    <t>Natrijum visokog pritiska</t>
  </si>
  <si>
    <t>Metal halogena</t>
  </si>
  <si>
    <t>Feromagnetni balast</t>
  </si>
  <si>
    <t>Elektronski balast</t>
  </si>
  <si>
    <t>xxxx</t>
  </si>
  <si>
    <t>Unesite traženu vrijednost</t>
  </si>
  <si>
    <t>Opština:</t>
  </si>
  <si>
    <t>Odgovorna osoba:</t>
  </si>
  <si>
    <t>Postojeće stanje javne rasvjete</t>
  </si>
  <si>
    <t>Datum:</t>
  </si>
  <si>
    <t>Ulica</t>
  </si>
  <si>
    <t>Širina ulice</t>
  </si>
  <si>
    <t>Visina stubova</t>
  </si>
  <si>
    <t>Broj</t>
  </si>
  <si>
    <t>W</t>
  </si>
  <si>
    <t>m</t>
  </si>
  <si>
    <t>Ukupna snaga</t>
  </si>
  <si>
    <t>Br.</t>
  </si>
  <si>
    <t>Planirana zamjena</t>
  </si>
  <si>
    <t>Razmak između stubova</t>
  </si>
  <si>
    <t>Cijena električne energije:</t>
  </si>
  <si>
    <t>cent/kWh</t>
  </si>
  <si>
    <t>El.energija</t>
  </si>
  <si>
    <t>Ušteda na god.nivou</t>
  </si>
  <si>
    <t>Jed.  snaga</t>
  </si>
  <si>
    <t>Održavanje</t>
  </si>
  <si>
    <t>Ukupno</t>
  </si>
  <si>
    <t>EUR</t>
  </si>
  <si>
    <t>UKUPNO:</t>
  </si>
  <si>
    <t>Vijek trajanja</t>
  </si>
  <si>
    <t>h</t>
  </si>
  <si>
    <t>k</t>
  </si>
  <si>
    <t>Koef. Trajanja</t>
  </si>
  <si>
    <t>Jed. cijena zamjene</t>
  </si>
  <si>
    <t>God. Potrošnja el.en.</t>
  </si>
  <si>
    <t>kWh</t>
  </si>
  <si>
    <t>Godišnji trošak za el.en.</t>
  </si>
  <si>
    <t xml:space="preserve"> cEUR/kWh</t>
  </si>
  <si>
    <t>Ukupni god. Trošak</t>
  </si>
  <si>
    <t>Ukupan trošak zamjene</t>
  </si>
  <si>
    <t>Period povrata imvesticije</t>
  </si>
  <si>
    <t>god</t>
  </si>
  <si>
    <t>Investicija po sijalici</t>
  </si>
  <si>
    <t>Ukupna investicija</t>
  </si>
  <si>
    <t>Ziva125</t>
  </si>
  <si>
    <t>Unijeti podatke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</si>
</sst>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7">
    <font>
      <sz val="11"/>
      <color theme="1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name val="Helv"/>
    </font>
    <font>
      <sz val="10"/>
      <name val="Geneva"/>
    </font>
    <font>
      <sz val="1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b/>
      <sz val="10"/>
      <color theme="0"/>
      <name val="Calibri"/>
      <family val="2"/>
      <charset val="238"/>
      <scheme val="minor"/>
    </font>
    <font>
      <sz val="16"/>
      <color theme="1"/>
      <name val="Gill Sans MT"/>
      <family val="2"/>
      <charset val="238"/>
    </font>
    <font>
      <sz val="10"/>
      <color rgb="FF00B050"/>
      <name val="Calibri"/>
      <family val="2"/>
      <charset val="238"/>
      <scheme val="minor"/>
    </font>
    <font>
      <sz val="10"/>
      <color theme="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i/>
      <u/>
      <sz val="10"/>
      <color theme="3"/>
      <name val="Calibri"/>
      <family val="2"/>
      <charset val="238"/>
      <scheme val="minor"/>
    </font>
    <font>
      <b/>
      <i/>
      <sz val="10"/>
      <color theme="0"/>
      <name val="Calibri"/>
      <family val="2"/>
      <charset val="238"/>
      <scheme val="minor"/>
    </font>
    <font>
      <i/>
      <sz val="10"/>
      <color theme="0"/>
      <name val="Calibri"/>
      <family val="2"/>
      <charset val="238"/>
      <scheme val="minor"/>
    </font>
    <font>
      <sz val="16"/>
      <color rgb="FF000000"/>
      <name val="Calibri"/>
      <family val="2"/>
      <charset val="238"/>
      <scheme val="minor"/>
    </font>
    <font>
      <sz val="16"/>
      <color theme="0"/>
      <name val="Gill Sans MT"/>
      <family val="2"/>
      <charset val="238"/>
    </font>
    <font>
      <b/>
      <i/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</fonts>
  <fills count="21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rgb="FF3F3F3F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9">
    <xf numFmtId="0" fontId="0" fillId="0" borderId="0"/>
    <xf numFmtId="0" fontId="1" fillId="3" borderId="2" applyNumberFormat="0" applyAlignment="0" applyProtection="0"/>
    <xf numFmtId="0" fontId="2" fillId="4" borderId="3" applyNumberFormat="0" applyAlignment="0" applyProtection="0"/>
    <xf numFmtId="0" fontId="4" fillId="0" borderId="0"/>
    <xf numFmtId="9" fontId="5" fillId="0" borderId="0" applyFont="0" applyFill="0" applyBorder="0" applyAlignment="0" applyProtection="0"/>
    <xf numFmtId="4" fontId="5" fillId="0" borderId="0" applyFont="0" applyFill="0" applyBorder="0" applyAlignment="0" applyProtection="0"/>
    <xf numFmtId="0" fontId="7" fillId="0" borderId="0"/>
    <xf numFmtId="0" fontId="8" fillId="0" borderId="0"/>
    <xf numFmtId="9" fontId="3" fillId="0" borderId="0" applyFont="0" applyFill="0" applyBorder="0" applyAlignment="0" applyProtection="0"/>
  </cellStyleXfs>
  <cellXfs count="319">
    <xf numFmtId="0" fontId="0" fillId="0" borderId="0" xfId="0"/>
    <xf numFmtId="0" fontId="9" fillId="0" borderId="0" xfId="0" applyFont="1" applyFill="1" applyBorder="1" applyAlignment="1">
      <alignment vertical="center"/>
    </xf>
    <xf numFmtId="0" fontId="11" fillId="0" borderId="0" xfId="0" applyFont="1" applyAlignment="1">
      <alignment horizontal="right" vertical="center"/>
    </xf>
    <xf numFmtId="0" fontId="9" fillId="0" borderId="0" xfId="0" applyFont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right" vertical="center"/>
    </xf>
    <xf numFmtId="0" fontId="10" fillId="0" borderId="1" xfId="0" applyFont="1" applyBorder="1" applyAlignment="1">
      <alignment horizontal="right" vertical="center"/>
    </xf>
    <xf numFmtId="0" fontId="9" fillId="0" borderId="1" xfId="0" applyFont="1" applyBorder="1" applyAlignment="1">
      <alignment vertical="center"/>
    </xf>
    <xf numFmtId="0" fontId="9" fillId="0" borderId="1" xfId="0" applyFont="1" applyBorder="1"/>
    <xf numFmtId="1" fontId="9" fillId="0" borderId="1" xfId="0" applyNumberFormat="1" applyFont="1" applyFill="1" applyBorder="1" applyAlignment="1">
      <alignment horizontal="right" vertical="center"/>
    </xf>
    <xf numFmtId="1" fontId="9" fillId="0" borderId="1" xfId="0" applyNumberFormat="1" applyFont="1" applyFill="1" applyBorder="1" applyAlignment="1">
      <alignment horizontal="right" vertical="center" wrapText="1"/>
    </xf>
    <xf numFmtId="0" fontId="9" fillId="0" borderId="0" xfId="0" applyFont="1" applyAlignment="1">
      <alignment vertical="center"/>
    </xf>
    <xf numFmtId="0" fontId="9" fillId="0" borderId="0" xfId="0" applyFont="1" applyFill="1" applyBorder="1" applyAlignment="1">
      <alignment horizontal="center" vertical="center"/>
    </xf>
    <xf numFmtId="0" fontId="14" fillId="0" borderId="0" xfId="0" applyFont="1" applyAlignment="1">
      <alignment vertical="center"/>
    </xf>
    <xf numFmtId="1" fontId="9" fillId="0" borderId="1" xfId="0" applyNumberFormat="1" applyFont="1" applyBorder="1" applyAlignment="1">
      <alignment horizontal="right" vertical="center"/>
    </xf>
    <xf numFmtId="1" fontId="10" fillId="0" borderId="1" xfId="0" applyNumberFormat="1" applyFont="1" applyBorder="1" applyAlignment="1">
      <alignment horizontal="right" vertical="center" wrapText="1"/>
    </xf>
    <xf numFmtId="1" fontId="10" fillId="0" borderId="1" xfId="0" applyNumberFormat="1" applyFont="1" applyBorder="1" applyAlignment="1">
      <alignment horizontal="right" vertical="center"/>
    </xf>
    <xf numFmtId="0" fontId="9" fillId="0" borderId="5" xfId="0" applyFont="1" applyBorder="1" applyAlignment="1">
      <alignment vertical="center"/>
    </xf>
    <xf numFmtId="0" fontId="9" fillId="0" borderId="4" xfId="0" applyFont="1" applyBorder="1" applyAlignment="1">
      <alignment vertical="center"/>
    </xf>
    <xf numFmtId="1" fontId="6" fillId="3" borderId="7" xfId="1" applyNumberFormat="1" applyFont="1" applyBorder="1"/>
    <xf numFmtId="1" fontId="6" fillId="3" borderId="13" xfId="1" applyNumberFormat="1" applyFont="1" applyBorder="1"/>
    <xf numFmtId="0" fontId="11" fillId="0" borderId="0" xfId="0" applyFont="1" applyAlignment="1">
      <alignment horizontal="left" vertical="center"/>
    </xf>
    <xf numFmtId="164" fontId="9" fillId="0" borderId="1" xfId="0" applyNumberFormat="1" applyFont="1" applyBorder="1"/>
    <xf numFmtId="0" fontId="11" fillId="0" borderId="0" xfId="0" applyFont="1" applyAlignment="1">
      <alignment horizontal="center" vertical="center"/>
    </xf>
    <xf numFmtId="0" fontId="11" fillId="0" borderId="0" xfId="0" applyFont="1" applyFill="1" applyBorder="1" applyAlignment="1">
      <alignment horizontal="center" vertical="center" textRotation="90"/>
    </xf>
    <xf numFmtId="0" fontId="11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vertical="center"/>
    </xf>
    <xf numFmtId="1" fontId="15" fillId="0" borderId="0" xfId="0" applyNumberFormat="1" applyFont="1" applyFill="1" applyBorder="1" applyAlignment="1">
      <alignment vertical="center"/>
    </xf>
    <xf numFmtId="0" fontId="9" fillId="0" borderId="1" xfId="0" applyFont="1" applyFill="1" applyBorder="1" applyAlignment="1">
      <alignment horizontal="left" vertical="center"/>
    </xf>
    <xf numFmtId="9" fontId="9" fillId="0" borderId="1" xfId="0" applyNumberFormat="1" applyFont="1" applyFill="1" applyBorder="1" applyAlignment="1">
      <alignment vertical="center"/>
    </xf>
    <xf numFmtId="0" fontId="9" fillId="0" borderId="5" xfId="0" applyFont="1" applyBorder="1"/>
    <xf numFmtId="164" fontId="6" fillId="0" borderId="1" xfId="0" applyNumberFormat="1" applyFont="1" applyBorder="1"/>
    <xf numFmtId="0" fontId="6" fillId="0" borderId="13" xfId="0" applyFont="1" applyBorder="1"/>
    <xf numFmtId="1" fontId="6" fillId="0" borderId="13" xfId="0" applyNumberFormat="1" applyFont="1" applyFill="1" applyBorder="1" applyAlignment="1">
      <alignment horizontal="right" vertical="center"/>
    </xf>
    <xf numFmtId="1" fontId="6" fillId="0" borderId="8" xfId="0" applyNumberFormat="1" applyFont="1" applyFill="1" applyBorder="1" applyAlignment="1">
      <alignment horizontal="right" vertical="center"/>
    </xf>
    <xf numFmtId="0" fontId="6" fillId="0" borderId="0" xfId="0" applyFont="1"/>
    <xf numFmtId="0" fontId="17" fillId="0" borderId="7" xfId="0" applyFont="1" applyFill="1" applyBorder="1" applyAlignment="1">
      <alignment vertical="center"/>
    </xf>
    <xf numFmtId="0" fontId="6" fillId="0" borderId="7" xfId="0" applyFont="1" applyBorder="1"/>
    <xf numFmtId="1" fontId="6" fillId="0" borderId="7" xfId="0" applyNumberFormat="1" applyFont="1" applyFill="1" applyBorder="1" applyAlignment="1">
      <alignment horizontal="right" vertical="center"/>
    </xf>
    <xf numFmtId="1" fontId="6" fillId="0" borderId="7" xfId="0" applyNumberFormat="1" applyFont="1" applyFill="1" applyBorder="1" applyAlignment="1">
      <alignment horizontal="right" vertical="center" wrapText="1"/>
    </xf>
    <xf numFmtId="164" fontId="6" fillId="0" borderId="4" xfId="0" applyNumberFormat="1" applyFont="1" applyBorder="1"/>
    <xf numFmtId="0" fontId="17" fillId="0" borderId="13" xfId="0" applyFont="1" applyFill="1" applyBorder="1" applyAlignment="1">
      <alignment vertical="center"/>
    </xf>
    <xf numFmtId="1" fontId="6" fillId="0" borderId="0" xfId="8" applyNumberFormat="1" applyFont="1" applyFill="1" applyBorder="1" applyAlignment="1">
      <alignment vertical="center"/>
    </xf>
    <xf numFmtId="0" fontId="6" fillId="0" borderId="1" xfId="0" applyFont="1" applyBorder="1" applyAlignment="1">
      <alignment horizontal="left" vertical="center"/>
    </xf>
    <xf numFmtId="0" fontId="6" fillId="0" borderId="6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1" fontId="6" fillId="0" borderId="1" xfId="0" applyNumberFormat="1" applyFont="1" applyBorder="1" applyAlignment="1">
      <alignment horizontal="right" vertical="center"/>
    </xf>
    <xf numFmtId="1" fontId="6" fillId="0" borderId="0" xfId="0" applyNumberFormat="1" applyFont="1"/>
    <xf numFmtId="0" fontId="6" fillId="0" borderId="1" xfId="0" applyFont="1" applyBorder="1"/>
    <xf numFmtId="0" fontId="17" fillId="0" borderId="1" xfId="0" applyFont="1" applyBorder="1" applyAlignment="1">
      <alignment horizontal="right" vertical="center"/>
    </xf>
    <xf numFmtId="1" fontId="17" fillId="0" borderId="1" xfId="0" applyNumberFormat="1" applyFont="1" applyBorder="1" applyAlignment="1">
      <alignment horizontal="right" vertical="center" wrapText="1"/>
    </xf>
    <xf numFmtId="0" fontId="6" fillId="0" borderId="1" xfId="0" applyFont="1" applyBorder="1" applyAlignment="1">
      <alignment horizontal="right" vertical="center"/>
    </xf>
    <xf numFmtId="1" fontId="17" fillId="0" borderId="1" xfId="0" applyNumberFormat="1" applyFont="1" applyBorder="1" applyAlignment="1">
      <alignment horizontal="right" vertical="center"/>
    </xf>
    <xf numFmtId="0" fontId="17" fillId="0" borderId="0" xfId="0" applyFont="1" applyAlignment="1">
      <alignment horizontal="right" vertical="center"/>
    </xf>
    <xf numFmtId="0" fontId="17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17" fillId="0" borderId="0" xfId="0" applyFont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7" xfId="0" applyFont="1" applyFill="1" applyBorder="1" applyAlignment="1">
      <alignment vertical="center"/>
    </xf>
    <xf numFmtId="0" fontId="6" fillId="0" borderId="13" xfId="0" applyFont="1" applyFill="1" applyBorder="1" applyAlignment="1">
      <alignment vertical="center"/>
    </xf>
    <xf numFmtId="0" fontId="13" fillId="6" borderId="3" xfId="2" applyFont="1" applyFill="1" applyBorder="1"/>
    <xf numFmtId="0" fontId="18" fillId="0" borderId="0" xfId="0" applyFont="1" applyAlignment="1">
      <alignment horizontal="left" vertical="center"/>
    </xf>
    <xf numFmtId="0" fontId="16" fillId="0" borderId="0" xfId="0" applyFont="1" applyFill="1" applyBorder="1" applyAlignment="1">
      <alignment horizontal="center" vertical="center" textRotation="90"/>
    </xf>
    <xf numFmtId="0" fontId="16" fillId="0" borderId="0" xfId="0" applyFont="1" applyFill="1" applyBorder="1" applyAlignment="1">
      <alignment vertical="center"/>
    </xf>
    <xf numFmtId="1" fontId="16" fillId="0" borderId="0" xfId="0" applyNumberFormat="1" applyFont="1" applyFill="1" applyBorder="1" applyAlignment="1">
      <alignment vertical="center"/>
    </xf>
    <xf numFmtId="0" fontId="9" fillId="7" borderId="1" xfId="0" applyFont="1" applyFill="1" applyBorder="1" applyAlignment="1">
      <alignment vertical="center" wrapText="1"/>
    </xf>
    <xf numFmtId="0" fontId="6" fillId="7" borderId="1" xfId="0" applyFont="1" applyFill="1" applyBorder="1" applyAlignment="1">
      <alignment horizontal="center" vertical="center" wrapText="1"/>
    </xf>
    <xf numFmtId="0" fontId="6" fillId="7" borderId="9" xfId="0" applyFont="1" applyFill="1" applyBorder="1" applyAlignment="1">
      <alignment vertical="center"/>
    </xf>
    <xf numFmtId="0" fontId="6" fillId="7" borderId="10" xfId="0" applyFont="1" applyFill="1" applyBorder="1" applyAlignment="1">
      <alignment vertical="center"/>
    </xf>
    <xf numFmtId="0" fontId="6" fillId="7" borderId="11" xfId="0" applyFont="1" applyFill="1" applyBorder="1" applyAlignment="1">
      <alignment vertical="center"/>
    </xf>
    <xf numFmtId="0" fontId="6" fillId="7" borderId="12" xfId="0" applyFont="1" applyFill="1" applyBorder="1" applyAlignment="1">
      <alignment vertical="center"/>
    </xf>
    <xf numFmtId="0" fontId="6" fillId="7" borderId="1" xfId="0" applyFont="1" applyFill="1" applyBorder="1" applyAlignment="1">
      <alignment horizontal="center" vertical="center"/>
    </xf>
    <xf numFmtId="0" fontId="6" fillId="7" borderId="9" xfId="0" applyFont="1" applyFill="1" applyBorder="1" applyAlignment="1">
      <alignment horizontal="center" vertical="center" wrapText="1"/>
    </xf>
    <xf numFmtId="0" fontId="6" fillId="7" borderId="8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right" vertical="center"/>
    </xf>
    <xf numFmtId="1" fontId="12" fillId="0" borderId="1" xfId="0" applyNumberFormat="1" applyFont="1" applyBorder="1" applyAlignment="1">
      <alignment horizontal="right" vertical="center"/>
    </xf>
    <xf numFmtId="0" fontId="9" fillId="0" borderId="0" xfId="0" applyFont="1" applyBorder="1" applyAlignment="1">
      <alignment vertical="center"/>
    </xf>
    <xf numFmtId="0" fontId="11" fillId="0" borderId="0" xfId="0" applyFont="1" applyFill="1" applyBorder="1" applyAlignment="1">
      <alignment horizontal="center" vertical="center"/>
    </xf>
    <xf numFmtId="1" fontId="9" fillId="0" borderId="0" xfId="0" applyNumberFormat="1" applyFont="1" applyBorder="1"/>
    <xf numFmtId="0" fontId="21" fillId="0" borderId="0" xfId="0" applyFont="1" applyAlignment="1">
      <alignment horizontal="left" vertical="center" readingOrder="1"/>
    </xf>
    <xf numFmtId="1" fontId="9" fillId="0" borderId="1" xfId="0" applyNumberFormat="1" applyFont="1" applyBorder="1"/>
    <xf numFmtId="0" fontId="10" fillId="0" borderId="17" xfId="0" applyFont="1" applyBorder="1"/>
    <xf numFmtId="0" fontId="9" fillId="0" borderId="17" xfId="0" applyFont="1" applyBorder="1"/>
    <xf numFmtId="0" fontId="9" fillId="0" borderId="0" xfId="0" applyFont="1" applyAlignment="1">
      <alignment horizontal="left" indent="1"/>
    </xf>
    <xf numFmtId="0" fontId="9" fillId="0" borderId="0" xfId="0" applyFont="1" applyAlignment="1">
      <alignment horizontal="left" indent="8"/>
    </xf>
    <xf numFmtId="0" fontId="13" fillId="6" borderId="3" xfId="2" applyFont="1" applyFill="1" applyBorder="1" applyAlignment="1">
      <alignment horizontal="center"/>
    </xf>
    <xf numFmtId="0" fontId="9" fillId="0" borderId="0" xfId="0" applyFont="1" applyAlignment="1">
      <alignment horizontal="left"/>
    </xf>
    <xf numFmtId="0" fontId="6" fillId="9" borderId="1" xfId="0" applyFont="1" applyFill="1" applyBorder="1" applyAlignment="1">
      <alignment vertical="center"/>
    </xf>
    <xf numFmtId="0" fontId="6" fillId="9" borderId="1" xfId="0" applyFont="1" applyFill="1" applyBorder="1" applyAlignment="1">
      <alignment horizontal="right" vertical="center"/>
    </xf>
    <xf numFmtId="0" fontId="17" fillId="9" borderId="1" xfId="0" applyFont="1" applyFill="1" applyBorder="1" applyAlignment="1">
      <alignment vertical="center"/>
    </xf>
    <xf numFmtId="0" fontId="23" fillId="9" borderId="1" xfId="0" applyFont="1" applyFill="1" applyBorder="1" applyAlignment="1">
      <alignment horizontal="right" vertical="center"/>
    </xf>
    <xf numFmtId="0" fontId="24" fillId="9" borderId="1" xfId="0" applyFont="1" applyFill="1" applyBorder="1" applyAlignment="1">
      <alignment horizontal="right" vertical="center"/>
    </xf>
    <xf numFmtId="1" fontId="23" fillId="9" borderId="1" xfId="0" applyNumberFormat="1" applyFont="1" applyFill="1" applyBorder="1" applyAlignment="1">
      <alignment horizontal="right" vertical="center"/>
    </xf>
    <xf numFmtId="1" fontId="24" fillId="9" borderId="1" xfId="0" applyNumberFormat="1" applyFont="1" applyFill="1" applyBorder="1" applyAlignment="1">
      <alignment horizontal="right" vertical="center"/>
    </xf>
    <xf numFmtId="1" fontId="6" fillId="9" borderId="1" xfId="0" applyNumberFormat="1" applyFont="1" applyFill="1" applyBorder="1" applyAlignment="1">
      <alignment vertical="center"/>
    </xf>
    <xf numFmtId="1" fontId="6" fillId="9" borderId="1" xfId="0" applyNumberFormat="1" applyFont="1" applyFill="1" applyBorder="1" applyAlignment="1">
      <alignment vertical="center" wrapText="1"/>
    </xf>
    <xf numFmtId="0" fontId="6" fillId="10" borderId="1" xfId="0" applyFont="1" applyFill="1" applyBorder="1" applyAlignment="1">
      <alignment horizontal="right" vertical="center"/>
    </xf>
    <xf numFmtId="1" fontId="6" fillId="10" borderId="1" xfId="0" applyNumberFormat="1" applyFont="1" applyFill="1" applyBorder="1" applyAlignment="1">
      <alignment vertical="center" wrapText="1"/>
    </xf>
    <xf numFmtId="1" fontId="6" fillId="10" borderId="1" xfId="0" applyNumberFormat="1" applyFont="1" applyFill="1" applyBorder="1" applyAlignment="1">
      <alignment vertical="center"/>
    </xf>
    <xf numFmtId="0" fontId="23" fillId="10" borderId="1" xfId="0" applyFont="1" applyFill="1" applyBorder="1" applyAlignment="1">
      <alignment horizontal="right" vertical="center"/>
    </xf>
    <xf numFmtId="1" fontId="23" fillId="10" borderId="1" xfId="0" applyNumberFormat="1" applyFont="1" applyFill="1" applyBorder="1" applyAlignment="1">
      <alignment horizontal="right" vertical="center"/>
    </xf>
    <xf numFmtId="0" fontId="17" fillId="10" borderId="1" xfId="0" applyFont="1" applyFill="1" applyBorder="1" applyAlignment="1">
      <alignment vertical="center"/>
    </xf>
    <xf numFmtId="0" fontId="24" fillId="10" borderId="1" xfId="0" applyFont="1" applyFill="1" applyBorder="1" applyAlignment="1">
      <alignment horizontal="right" vertical="center"/>
    </xf>
    <xf numFmtId="1" fontId="24" fillId="10" borderId="1" xfId="0" applyNumberFormat="1" applyFont="1" applyFill="1" applyBorder="1" applyAlignment="1">
      <alignment horizontal="right" vertical="center"/>
    </xf>
    <xf numFmtId="0" fontId="6" fillId="10" borderId="1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1" fontId="6" fillId="0" borderId="0" xfId="0" applyNumberFormat="1" applyFont="1" applyFill="1" applyBorder="1" applyAlignment="1">
      <alignment vertical="center"/>
    </xf>
    <xf numFmtId="0" fontId="6" fillId="2" borderId="1" xfId="0" applyFont="1" applyFill="1" applyBorder="1" applyAlignment="1">
      <alignment horizontal="right" vertical="center"/>
    </xf>
    <xf numFmtId="1" fontId="6" fillId="2" borderId="1" xfId="0" applyNumberFormat="1" applyFont="1" applyFill="1" applyBorder="1" applyAlignment="1">
      <alignment vertical="center" wrapText="1"/>
    </xf>
    <xf numFmtId="1" fontId="6" fillId="2" borderId="1" xfId="0" applyNumberFormat="1" applyFont="1" applyFill="1" applyBorder="1" applyAlignment="1">
      <alignment vertical="center"/>
    </xf>
    <xf numFmtId="0" fontId="16" fillId="5" borderId="1" xfId="0" applyFont="1" applyFill="1" applyBorder="1" applyAlignment="1">
      <alignment vertical="center"/>
    </xf>
    <xf numFmtId="0" fontId="19" fillId="5" borderId="1" xfId="0" applyFont="1" applyFill="1" applyBorder="1" applyAlignment="1">
      <alignment horizontal="right" vertical="center"/>
    </xf>
    <xf numFmtId="0" fontId="20" fillId="5" borderId="1" xfId="0" applyFont="1" applyFill="1" applyBorder="1" applyAlignment="1">
      <alignment horizontal="right" vertical="center"/>
    </xf>
    <xf numFmtId="0" fontId="6" fillId="5" borderId="1" xfId="0" applyFont="1" applyFill="1" applyBorder="1" applyAlignment="1">
      <alignment vertical="center"/>
    </xf>
    <xf numFmtId="0" fontId="6" fillId="5" borderId="1" xfId="0" applyFont="1" applyFill="1" applyBorder="1" applyAlignment="1">
      <alignment horizontal="right" vertical="center"/>
    </xf>
    <xf numFmtId="0" fontId="17" fillId="5" borderId="1" xfId="0" applyFont="1" applyFill="1" applyBorder="1" applyAlignment="1">
      <alignment vertical="center"/>
    </xf>
    <xf numFmtId="0" fontId="23" fillId="5" borderId="1" xfId="0" applyFont="1" applyFill="1" applyBorder="1" applyAlignment="1">
      <alignment horizontal="right" vertical="center"/>
    </xf>
    <xf numFmtId="0" fontId="24" fillId="5" borderId="1" xfId="0" applyFont="1" applyFill="1" applyBorder="1" applyAlignment="1">
      <alignment horizontal="right" vertical="center"/>
    </xf>
    <xf numFmtId="1" fontId="6" fillId="5" borderId="1" xfId="0" applyNumberFormat="1" applyFont="1" applyFill="1" applyBorder="1" applyAlignment="1">
      <alignment vertical="center" wrapText="1"/>
    </xf>
    <xf numFmtId="1" fontId="6" fillId="5" borderId="1" xfId="0" applyNumberFormat="1" applyFont="1" applyFill="1" applyBorder="1" applyAlignment="1">
      <alignment vertical="center"/>
    </xf>
    <xf numFmtId="1" fontId="23" fillId="5" borderId="1" xfId="0" applyNumberFormat="1" applyFont="1" applyFill="1" applyBorder="1" applyAlignment="1">
      <alignment horizontal="right" vertical="center"/>
    </xf>
    <xf numFmtId="1" fontId="24" fillId="5" borderId="1" xfId="0" applyNumberFormat="1" applyFont="1" applyFill="1" applyBorder="1" applyAlignment="1">
      <alignment horizontal="right" vertical="center"/>
    </xf>
    <xf numFmtId="0" fontId="6" fillId="8" borderId="1" xfId="0" applyFont="1" applyFill="1" applyBorder="1" applyAlignment="1">
      <alignment vertical="center"/>
    </xf>
    <xf numFmtId="0" fontId="6" fillId="8" borderId="1" xfId="0" applyFont="1" applyFill="1" applyBorder="1" applyAlignment="1">
      <alignment horizontal="right" vertical="center"/>
    </xf>
    <xf numFmtId="0" fontId="17" fillId="8" borderId="1" xfId="0" applyFont="1" applyFill="1" applyBorder="1" applyAlignment="1">
      <alignment vertical="center"/>
    </xf>
    <xf numFmtId="0" fontId="23" fillId="8" borderId="1" xfId="0" applyFont="1" applyFill="1" applyBorder="1" applyAlignment="1">
      <alignment horizontal="right" vertical="center"/>
    </xf>
    <xf numFmtId="0" fontId="24" fillId="8" borderId="1" xfId="0" applyFont="1" applyFill="1" applyBorder="1" applyAlignment="1">
      <alignment horizontal="right" vertical="center"/>
    </xf>
    <xf numFmtId="1" fontId="23" fillId="8" borderId="1" xfId="0" applyNumberFormat="1" applyFont="1" applyFill="1" applyBorder="1" applyAlignment="1">
      <alignment horizontal="right" vertical="center"/>
    </xf>
    <xf numFmtId="1" fontId="24" fillId="8" borderId="1" xfId="0" applyNumberFormat="1" applyFont="1" applyFill="1" applyBorder="1" applyAlignment="1">
      <alignment horizontal="right" vertical="center"/>
    </xf>
    <xf numFmtId="1" fontId="6" fillId="8" borderId="1" xfId="0" applyNumberFormat="1" applyFont="1" applyFill="1" applyBorder="1" applyAlignment="1">
      <alignment vertical="center"/>
    </xf>
    <xf numFmtId="1" fontId="6" fillId="8" borderId="1" xfId="0" applyNumberFormat="1" applyFont="1" applyFill="1" applyBorder="1" applyAlignment="1">
      <alignment vertical="center" wrapText="1"/>
    </xf>
    <xf numFmtId="0" fontId="22" fillId="12" borderId="0" xfId="0" applyFont="1" applyFill="1" applyAlignment="1">
      <alignment vertical="center"/>
    </xf>
    <xf numFmtId="0" fontId="13" fillId="11" borderId="3" xfId="2" applyFont="1" applyFill="1" applyBorder="1"/>
    <xf numFmtId="0" fontId="14" fillId="0" borderId="0" xfId="0" applyFont="1" applyBorder="1" applyAlignment="1">
      <alignment vertical="center"/>
    </xf>
    <xf numFmtId="0" fontId="9" fillId="0" borderId="4" xfId="0" applyFont="1" applyBorder="1" applyAlignment="1" applyProtection="1">
      <alignment vertical="center"/>
    </xf>
    <xf numFmtId="1" fontId="9" fillId="0" borderId="1" xfId="0" applyNumberFormat="1" applyFont="1" applyFill="1" applyBorder="1" applyAlignment="1" applyProtection="1">
      <alignment horizontal="right" vertical="center" wrapText="1"/>
    </xf>
    <xf numFmtId="1" fontId="9" fillId="0" borderId="1" xfId="0" applyNumberFormat="1" applyFont="1" applyFill="1" applyBorder="1" applyAlignment="1" applyProtection="1">
      <alignment horizontal="right" vertical="center"/>
    </xf>
    <xf numFmtId="0" fontId="9" fillId="0" borderId="0" xfId="0" applyFont="1"/>
    <xf numFmtId="0" fontId="9" fillId="0" borderId="0" xfId="0" applyFont="1" applyAlignment="1">
      <alignment horizontal="right"/>
    </xf>
    <xf numFmtId="0" fontId="25" fillId="0" borderId="0" xfId="0" applyFont="1" applyAlignment="1">
      <alignment horizontal="center" vertical="center" wrapText="1"/>
    </xf>
    <xf numFmtId="0" fontId="25" fillId="0" borderId="0" xfId="0" applyFont="1"/>
    <xf numFmtId="0" fontId="25" fillId="0" borderId="0" xfId="0" applyFont="1" applyAlignment="1">
      <alignment wrapText="1"/>
    </xf>
    <xf numFmtId="0" fontId="25" fillId="0" borderId="0" xfId="0" applyFont="1" applyAlignment="1">
      <alignment horizontal="left" vertical="center" wrapText="1"/>
    </xf>
    <xf numFmtId="0" fontId="14" fillId="12" borderId="0" xfId="0" applyFont="1" applyFill="1" applyAlignment="1">
      <alignment vertical="center"/>
    </xf>
    <xf numFmtId="0" fontId="16" fillId="12" borderId="0" xfId="0" applyFont="1" applyFill="1"/>
    <xf numFmtId="0" fontId="18" fillId="0" borderId="0" xfId="0" applyFont="1" applyAlignment="1">
      <alignment horizontal="left" indent="1"/>
    </xf>
    <xf numFmtId="0" fontId="9" fillId="13" borderId="11" xfId="0" applyFont="1" applyFill="1" applyBorder="1"/>
    <xf numFmtId="0" fontId="0" fillId="13" borderId="11" xfId="0" applyFill="1" applyBorder="1"/>
    <xf numFmtId="0" fontId="25" fillId="0" borderId="21" xfId="0" applyFont="1" applyBorder="1" applyAlignment="1">
      <alignment horizontal="center" vertical="center" wrapText="1"/>
    </xf>
    <xf numFmtId="0" fontId="9" fillId="13" borderId="6" xfId="0" applyFont="1" applyFill="1" applyBorder="1" applyAlignment="1">
      <alignment horizontal="center"/>
    </xf>
    <xf numFmtId="0" fontId="25" fillId="0" borderId="21" xfId="0" applyFont="1" applyBorder="1" applyAlignment="1">
      <alignment horizontal="center" wrapText="1"/>
    </xf>
    <xf numFmtId="0" fontId="25" fillId="15" borderId="21" xfId="0" applyFont="1" applyFill="1" applyBorder="1" applyAlignment="1">
      <alignment horizontal="center" vertical="center" wrapText="1"/>
    </xf>
    <xf numFmtId="0" fontId="25" fillId="15" borderId="1" xfId="0" applyFont="1" applyFill="1" applyBorder="1" applyAlignment="1">
      <alignment horizontal="center" vertical="center" wrapText="1"/>
    </xf>
    <xf numFmtId="0" fontId="25" fillId="15" borderId="5" xfId="0" applyFont="1" applyFill="1" applyBorder="1" applyAlignment="1">
      <alignment horizontal="center" vertical="center" wrapText="1"/>
    </xf>
    <xf numFmtId="0" fontId="25" fillId="15" borderId="21" xfId="0" applyFont="1" applyFill="1" applyBorder="1" applyAlignment="1">
      <alignment wrapText="1"/>
    </xf>
    <xf numFmtId="0" fontId="25" fillId="15" borderId="1" xfId="0" applyFont="1" applyFill="1" applyBorder="1" applyAlignment="1">
      <alignment wrapText="1"/>
    </xf>
    <xf numFmtId="0" fontId="25" fillId="15" borderId="1" xfId="0" applyFont="1" applyFill="1" applyBorder="1" applyAlignment="1">
      <alignment horizontal="center" wrapText="1"/>
    </xf>
    <xf numFmtId="0" fontId="25" fillId="15" borderId="5" xfId="0" applyFont="1" applyFill="1" applyBorder="1" applyAlignment="1">
      <alignment horizontal="center" wrapText="1"/>
    </xf>
    <xf numFmtId="0" fontId="25" fillId="15" borderId="21" xfId="0" applyFont="1" applyFill="1" applyBorder="1" applyAlignment="1">
      <alignment horizontal="center" wrapText="1"/>
    </xf>
    <xf numFmtId="0" fontId="25" fillId="0" borderId="21" xfId="0" applyFont="1" applyFill="1" applyBorder="1" applyAlignment="1">
      <alignment horizontal="center" wrapText="1"/>
    </xf>
    <xf numFmtId="0" fontId="25" fillId="18" borderId="21" xfId="0" applyFont="1" applyFill="1" applyBorder="1" applyAlignment="1">
      <alignment horizontal="left" vertical="center" wrapText="1"/>
    </xf>
    <xf numFmtId="0" fontId="25" fillId="18" borderId="21" xfId="0" applyFont="1" applyFill="1" applyBorder="1" applyAlignment="1">
      <alignment wrapText="1"/>
    </xf>
    <xf numFmtId="0" fontId="25" fillId="18" borderId="1" xfId="0" applyFont="1" applyFill="1" applyBorder="1" applyAlignment="1">
      <alignment horizontal="left" vertical="center" wrapText="1"/>
    </xf>
    <xf numFmtId="0" fontId="25" fillId="18" borderId="1" xfId="0" applyFont="1" applyFill="1" applyBorder="1" applyAlignment="1">
      <alignment wrapText="1"/>
    </xf>
    <xf numFmtId="0" fontId="25" fillId="18" borderId="1" xfId="0" applyFont="1" applyFill="1" applyBorder="1"/>
    <xf numFmtId="0" fontId="25" fillId="19" borderId="12" xfId="0" applyFont="1" applyFill="1" applyBorder="1" applyAlignment="1">
      <alignment horizontal="center" vertical="center" wrapText="1"/>
    </xf>
    <xf numFmtId="0" fontId="25" fillId="19" borderId="8" xfId="0" applyFont="1" applyFill="1" applyBorder="1" applyAlignment="1">
      <alignment horizontal="center" vertical="center" wrapText="1"/>
    </xf>
    <xf numFmtId="0" fontId="25" fillId="19" borderId="4" xfId="0" applyFont="1" applyFill="1" applyBorder="1" applyAlignment="1">
      <alignment horizontal="center" wrapText="1"/>
    </xf>
    <xf numFmtId="0" fontId="25" fillId="19" borderId="1" xfId="0" applyFont="1" applyFill="1" applyBorder="1" applyAlignment="1">
      <alignment horizontal="center" wrapText="1"/>
    </xf>
    <xf numFmtId="0" fontId="25" fillId="19" borderId="1" xfId="0" quotePrefix="1" applyFont="1" applyFill="1" applyBorder="1" applyAlignment="1">
      <alignment horizontal="center" wrapText="1"/>
    </xf>
    <xf numFmtId="0" fontId="25" fillId="20" borderId="4" xfId="0" applyFont="1" applyFill="1" applyBorder="1" applyAlignment="1">
      <alignment horizontal="left" vertical="center" wrapText="1"/>
    </xf>
    <xf numFmtId="0" fontId="25" fillId="20" borderId="4" xfId="0" applyFont="1" applyFill="1" applyBorder="1" applyAlignment="1">
      <alignment wrapText="1"/>
    </xf>
    <xf numFmtId="0" fontId="25" fillId="20" borderId="1" xfId="0" applyFont="1" applyFill="1" applyBorder="1" applyAlignment="1">
      <alignment horizontal="left" vertical="center" wrapText="1"/>
    </xf>
    <xf numFmtId="0" fontId="25" fillId="20" borderId="1" xfId="0" applyFont="1" applyFill="1" applyBorder="1" applyAlignment="1">
      <alignment wrapText="1"/>
    </xf>
    <xf numFmtId="0" fontId="26" fillId="15" borderId="22" xfId="0" applyFont="1" applyFill="1" applyBorder="1" applyAlignment="1">
      <alignment horizontal="center" vertical="center" wrapText="1"/>
    </xf>
    <xf numFmtId="0" fontId="26" fillId="15" borderId="22" xfId="0" applyFont="1" applyFill="1" applyBorder="1" applyAlignment="1">
      <alignment horizontal="center" wrapText="1"/>
    </xf>
    <xf numFmtId="0" fontId="25" fillId="19" borderId="15" xfId="0" applyFont="1" applyFill="1" applyBorder="1" applyAlignment="1">
      <alignment horizontal="center" vertical="center" wrapText="1"/>
    </xf>
    <xf numFmtId="0" fontId="25" fillId="19" borderId="5" xfId="0" quotePrefix="1" applyFont="1" applyFill="1" applyBorder="1" applyAlignment="1">
      <alignment horizontal="center" wrapText="1"/>
    </xf>
    <xf numFmtId="0" fontId="25" fillId="20" borderId="5" xfId="0" applyFont="1" applyFill="1" applyBorder="1" applyAlignment="1">
      <alignment horizontal="left" vertical="center" wrapText="1"/>
    </xf>
    <xf numFmtId="0" fontId="25" fillId="20" borderId="5" xfId="0" applyFont="1" applyFill="1" applyBorder="1" applyAlignment="1">
      <alignment wrapText="1"/>
    </xf>
    <xf numFmtId="0" fontId="25" fillId="19" borderId="29" xfId="0" applyFont="1" applyFill="1" applyBorder="1" applyAlignment="1">
      <alignment horizontal="center" vertical="center" wrapText="1"/>
    </xf>
    <xf numFmtId="0" fontId="25" fillId="19" borderId="21" xfId="0" applyFont="1" applyFill="1" applyBorder="1" applyAlignment="1">
      <alignment horizontal="center" wrapText="1"/>
    </xf>
    <xf numFmtId="0" fontId="25" fillId="20" borderId="21" xfId="0" applyFont="1" applyFill="1" applyBorder="1" applyAlignment="1">
      <alignment horizontal="left" vertical="center" wrapText="1"/>
    </xf>
    <xf numFmtId="0" fontId="25" fillId="20" borderId="21" xfId="0" applyFont="1" applyFill="1" applyBorder="1" applyAlignment="1">
      <alignment wrapText="1"/>
    </xf>
    <xf numFmtId="0" fontId="25" fillId="19" borderId="5" xfId="0" applyFont="1" applyFill="1" applyBorder="1" applyAlignment="1">
      <alignment horizontal="center" wrapText="1"/>
    </xf>
    <xf numFmtId="0" fontId="25" fillId="5" borderId="1" xfId="0" applyFont="1" applyFill="1" applyBorder="1" applyAlignment="1">
      <alignment horizontal="center" vertical="center" wrapText="1"/>
    </xf>
    <xf numFmtId="0" fontId="25" fillId="5" borderId="1" xfId="0" applyFont="1" applyFill="1" applyBorder="1" applyAlignment="1">
      <alignment horizontal="center" wrapText="1"/>
    </xf>
    <xf numFmtId="0" fontId="25" fillId="5" borderId="21" xfId="0" applyFont="1" applyFill="1" applyBorder="1" applyAlignment="1">
      <alignment horizontal="center" vertical="center" wrapText="1"/>
    </xf>
    <xf numFmtId="0" fontId="25" fillId="5" borderId="21" xfId="0" applyFont="1" applyFill="1" applyBorder="1" applyAlignment="1">
      <alignment horizontal="center" wrapText="1"/>
    </xf>
    <xf numFmtId="0" fontId="9" fillId="0" borderId="0" xfId="0" applyFont="1" applyFill="1" applyBorder="1"/>
    <xf numFmtId="0" fontId="9" fillId="0" borderId="0" xfId="0" applyFont="1" applyFill="1" applyBorder="1" applyAlignment="1">
      <alignment horizontal="center"/>
    </xf>
    <xf numFmtId="0" fontId="25" fillId="0" borderId="21" xfId="0" applyFont="1" applyBorder="1" applyAlignment="1">
      <alignment horizontal="right" vertical="center" wrapText="1"/>
    </xf>
    <xf numFmtId="0" fontId="25" fillId="0" borderId="0" xfId="0" applyFont="1" applyAlignment="1">
      <alignment horizontal="right" vertical="center" wrapText="1"/>
    </xf>
    <xf numFmtId="1" fontId="25" fillId="18" borderId="1" xfId="0" applyNumberFormat="1" applyFont="1" applyFill="1" applyBorder="1" applyAlignment="1">
      <alignment horizontal="right" vertical="center" wrapText="1"/>
    </xf>
    <xf numFmtId="1" fontId="25" fillId="0" borderId="1" xfId="0" applyNumberFormat="1" applyFont="1" applyBorder="1" applyAlignment="1">
      <alignment horizontal="right" vertical="center" wrapText="1"/>
    </xf>
    <xf numFmtId="1" fontId="26" fillId="0" borderId="22" xfId="0" applyNumberFormat="1" applyFont="1" applyFill="1" applyBorder="1" applyAlignment="1">
      <alignment horizontal="right" vertical="center" wrapText="1"/>
    </xf>
    <xf numFmtId="1" fontId="25" fillId="20" borderId="4" xfId="0" applyNumberFormat="1" applyFont="1" applyFill="1" applyBorder="1" applyAlignment="1">
      <alignment horizontal="right" vertical="center" wrapText="1"/>
    </xf>
    <xf numFmtId="1" fontId="25" fillId="0" borderId="4" xfId="0" applyNumberFormat="1" applyFont="1" applyBorder="1" applyAlignment="1">
      <alignment horizontal="right" vertical="center" wrapText="1"/>
    </xf>
    <xf numFmtId="1" fontId="25" fillId="20" borderId="1" xfId="0" applyNumberFormat="1" applyFont="1" applyFill="1" applyBorder="1" applyAlignment="1">
      <alignment horizontal="right" vertical="center" wrapText="1"/>
    </xf>
    <xf numFmtId="1" fontId="25" fillId="0" borderId="5" xfId="0" applyNumberFormat="1" applyFont="1" applyFill="1" applyBorder="1" applyAlignment="1">
      <alignment horizontal="right" vertical="center" wrapText="1"/>
    </xf>
    <xf numFmtId="1" fontId="25" fillId="20" borderId="5" xfId="0" applyNumberFormat="1" applyFont="1" applyFill="1" applyBorder="1" applyAlignment="1">
      <alignment horizontal="right" vertical="center" wrapText="1"/>
    </xf>
    <xf numFmtId="1" fontId="25" fillId="0" borderId="5" xfId="0" applyNumberFormat="1" applyFont="1" applyBorder="1" applyAlignment="1">
      <alignment horizontal="right" vertical="center" wrapText="1"/>
    </xf>
    <xf numFmtId="1" fontId="25" fillId="0" borderId="21" xfId="0" applyNumberFormat="1" applyFont="1" applyBorder="1" applyAlignment="1">
      <alignment horizontal="right" vertical="center" wrapText="1"/>
    </xf>
    <xf numFmtId="2" fontId="25" fillId="0" borderId="1" xfId="0" applyNumberFormat="1" applyFont="1" applyBorder="1" applyAlignment="1">
      <alignment horizontal="right" vertical="center" wrapText="1"/>
    </xf>
    <xf numFmtId="0" fontId="26" fillId="5" borderId="1" xfId="0" applyFont="1" applyFill="1" applyBorder="1" applyAlignment="1">
      <alignment horizontal="center" vertical="center" wrapText="1"/>
    </xf>
    <xf numFmtId="0" fontId="26" fillId="5" borderId="1" xfId="0" applyFont="1" applyFill="1" applyBorder="1" applyAlignment="1">
      <alignment horizontal="center" wrapText="1"/>
    </xf>
    <xf numFmtId="1" fontId="26" fillId="0" borderId="1" xfId="0" applyNumberFormat="1" applyFont="1" applyBorder="1" applyAlignment="1">
      <alignment horizontal="right" vertical="center" wrapText="1"/>
    </xf>
    <xf numFmtId="0" fontId="26" fillId="5" borderId="22" xfId="0" applyFont="1" applyFill="1" applyBorder="1" applyAlignment="1">
      <alignment horizontal="center" vertical="center" wrapText="1"/>
    </xf>
    <xf numFmtId="0" fontId="26" fillId="5" borderId="22" xfId="0" applyFont="1" applyFill="1" applyBorder="1" applyAlignment="1">
      <alignment horizontal="center" wrapText="1"/>
    </xf>
    <xf numFmtId="164" fontId="26" fillId="0" borderId="22" xfId="0" applyNumberFormat="1" applyFont="1" applyBorder="1" applyAlignment="1">
      <alignment horizontal="right" vertical="center" wrapText="1"/>
    </xf>
    <xf numFmtId="0" fontId="26" fillId="19" borderId="15" xfId="0" applyFont="1" applyFill="1" applyBorder="1" applyAlignment="1">
      <alignment horizontal="center" vertical="center" wrapText="1"/>
    </xf>
    <xf numFmtId="0" fontId="26" fillId="19" borderId="5" xfId="0" quotePrefix="1" applyFont="1" applyFill="1" applyBorder="1" applyAlignment="1">
      <alignment horizontal="center" wrapText="1"/>
    </xf>
    <xf numFmtId="1" fontId="26" fillId="0" borderId="5" xfId="0" applyNumberFormat="1" applyFont="1" applyFill="1" applyBorder="1" applyAlignment="1">
      <alignment horizontal="right" vertical="center" wrapText="1"/>
    </xf>
    <xf numFmtId="1" fontId="26" fillId="0" borderId="32" xfId="0" applyNumberFormat="1" applyFont="1" applyFill="1" applyBorder="1"/>
    <xf numFmtId="1" fontId="26" fillId="0" borderId="33" xfId="0" applyNumberFormat="1" applyFont="1" applyFill="1" applyBorder="1"/>
    <xf numFmtId="1" fontId="25" fillId="0" borderId="34" xfId="0" applyNumberFormat="1" applyFont="1" applyFill="1" applyBorder="1"/>
    <xf numFmtId="0" fontId="25" fillId="20" borderId="31" xfId="0" applyFont="1" applyFill="1" applyBorder="1" applyAlignment="1">
      <alignment wrapText="1"/>
    </xf>
    <xf numFmtId="0" fontId="25" fillId="20" borderId="10" xfId="0" applyFont="1" applyFill="1" applyBorder="1" applyAlignment="1">
      <alignment wrapText="1"/>
    </xf>
    <xf numFmtId="0" fontId="25" fillId="20" borderId="7" xfId="0" applyFont="1" applyFill="1" applyBorder="1" applyAlignment="1">
      <alignment wrapText="1"/>
    </xf>
    <xf numFmtId="0" fontId="25" fillId="20" borderId="9" xfId="0" applyFont="1" applyFill="1" applyBorder="1" applyAlignment="1">
      <alignment wrapText="1"/>
    </xf>
    <xf numFmtId="0" fontId="25" fillId="8" borderId="30" xfId="0" applyFont="1" applyFill="1" applyBorder="1" applyAlignment="1"/>
    <xf numFmtId="0" fontId="0" fillId="8" borderId="32" xfId="0" applyFill="1" applyBorder="1" applyAlignment="1"/>
    <xf numFmtId="0" fontId="25" fillId="0" borderId="32" xfId="0" applyFont="1" applyBorder="1" applyAlignment="1"/>
    <xf numFmtId="1" fontId="25" fillId="0" borderId="32" xfId="0" applyNumberFormat="1" applyFont="1" applyBorder="1" applyAlignment="1"/>
    <xf numFmtId="1" fontId="25" fillId="8" borderId="32" xfId="0" applyNumberFormat="1" applyFont="1" applyFill="1" applyBorder="1" applyAlignment="1"/>
    <xf numFmtId="1" fontId="26" fillId="0" borderId="35" xfId="0" applyNumberFormat="1" applyFont="1" applyBorder="1" applyAlignment="1"/>
    <xf numFmtId="1" fontId="25" fillId="8" borderId="35" xfId="0" applyNumberFormat="1" applyFont="1" applyFill="1" applyBorder="1" applyAlignment="1"/>
    <xf numFmtId="0" fontId="25" fillId="18" borderId="31" xfId="0" applyFont="1" applyFill="1" applyBorder="1" applyAlignment="1">
      <alignment wrapText="1"/>
    </xf>
    <xf numFmtId="0" fontId="25" fillId="18" borderId="7" xfId="0" applyFont="1" applyFill="1" applyBorder="1" applyAlignment="1">
      <alignment wrapText="1"/>
    </xf>
    <xf numFmtId="0" fontId="25" fillId="15" borderId="30" xfId="0" applyFont="1" applyFill="1" applyBorder="1" applyAlignment="1"/>
    <xf numFmtId="0" fontId="25" fillId="15" borderId="32" xfId="0" applyFont="1" applyFill="1" applyBorder="1" applyAlignment="1"/>
    <xf numFmtId="1" fontId="25" fillId="0" borderId="32" xfId="0" applyNumberFormat="1" applyFont="1" applyFill="1" applyBorder="1" applyAlignment="1">
      <alignment horizontal="center"/>
    </xf>
    <xf numFmtId="1" fontId="25" fillId="15" borderId="32" xfId="0" applyNumberFormat="1" applyFont="1" applyFill="1" applyBorder="1" applyAlignment="1">
      <alignment horizontal="center"/>
    </xf>
    <xf numFmtId="1" fontId="26" fillId="0" borderId="33" xfId="0" applyNumberFormat="1" applyFont="1" applyFill="1" applyBorder="1" applyAlignment="1">
      <alignment horizontal="center"/>
    </xf>
    <xf numFmtId="164" fontId="26" fillId="0" borderId="33" xfId="0" applyNumberFormat="1" applyFont="1" applyFill="1" applyBorder="1"/>
    <xf numFmtId="0" fontId="25" fillId="18" borderId="1" xfId="0" applyFont="1" applyFill="1" applyBorder="1" applyAlignment="1">
      <alignment horizontal="right" vertical="center" wrapText="1"/>
    </xf>
    <xf numFmtId="0" fontId="25" fillId="18" borderId="5" xfId="0" applyFont="1" applyFill="1" applyBorder="1" applyAlignment="1">
      <alignment horizontal="right" vertical="center" wrapText="1"/>
    </xf>
    <xf numFmtId="0" fontId="25" fillId="18" borderId="5" xfId="0" applyFont="1" applyFill="1" applyBorder="1" applyAlignment="1">
      <alignment horizontal="left" vertical="center" wrapText="1"/>
    </xf>
    <xf numFmtId="0" fontId="25" fillId="18" borderId="5" xfId="0" applyFont="1" applyFill="1" applyBorder="1" applyAlignment="1">
      <alignment wrapText="1"/>
    </xf>
    <xf numFmtId="0" fontId="6" fillId="0" borderId="0" xfId="0" applyFont="1" applyBorder="1"/>
    <xf numFmtId="0" fontId="17" fillId="0" borderId="9" xfId="0" applyFont="1" applyBorder="1" applyAlignment="1">
      <alignment horizontal="left" vertical="center"/>
    </xf>
    <xf numFmtId="0" fontId="17" fillId="0" borderId="10" xfId="0" applyFont="1" applyBorder="1" applyAlignment="1">
      <alignment horizontal="right" vertical="center"/>
    </xf>
    <xf numFmtId="1" fontId="17" fillId="0" borderId="7" xfId="0" applyNumberFormat="1" applyFont="1" applyBorder="1" applyAlignment="1">
      <alignment horizontal="right" vertical="center" wrapText="1"/>
    </xf>
    <xf numFmtId="0" fontId="13" fillId="17" borderId="18" xfId="0" applyFont="1" applyFill="1" applyBorder="1" applyAlignment="1">
      <alignment horizontal="center"/>
    </xf>
    <xf numFmtId="0" fontId="13" fillId="17" borderId="19" xfId="0" applyFont="1" applyFill="1" applyBorder="1" applyAlignment="1">
      <alignment horizontal="center"/>
    </xf>
    <xf numFmtId="0" fontId="13" fillId="17" borderId="20" xfId="0" applyFont="1" applyFill="1" applyBorder="1" applyAlignment="1">
      <alignment horizontal="center"/>
    </xf>
    <xf numFmtId="0" fontId="0" fillId="13" borderId="11" xfId="0" applyFill="1" applyBorder="1" applyAlignment="1">
      <alignment horizontal="center"/>
    </xf>
    <xf numFmtId="0" fontId="13" fillId="14" borderId="25" xfId="0" applyFont="1" applyFill="1" applyBorder="1" applyAlignment="1">
      <alignment horizontal="center"/>
    </xf>
    <xf numFmtId="0" fontId="13" fillId="14" borderId="23" xfId="0" applyFont="1" applyFill="1" applyBorder="1" applyAlignment="1">
      <alignment horizontal="center"/>
    </xf>
    <xf numFmtId="0" fontId="25" fillId="15" borderId="27" xfId="0" applyFont="1" applyFill="1" applyBorder="1" applyAlignment="1">
      <alignment horizontal="right"/>
    </xf>
    <xf numFmtId="0" fontId="25" fillId="15" borderId="24" xfId="0" applyFont="1" applyFill="1" applyBorder="1" applyAlignment="1">
      <alignment horizontal="right"/>
    </xf>
    <xf numFmtId="0" fontId="25" fillId="15" borderId="28" xfId="0" applyFont="1" applyFill="1" applyBorder="1" applyAlignment="1">
      <alignment horizontal="right"/>
    </xf>
    <xf numFmtId="0" fontId="13" fillId="16" borderId="25" xfId="0" applyFont="1" applyFill="1" applyBorder="1" applyAlignment="1">
      <alignment horizontal="center"/>
    </xf>
    <xf numFmtId="0" fontId="13" fillId="16" borderId="23" xfId="0" applyFont="1" applyFill="1" applyBorder="1" applyAlignment="1">
      <alignment horizontal="center"/>
    </xf>
    <xf numFmtId="0" fontId="13" fillId="14" borderId="26" xfId="0" applyFont="1" applyFill="1" applyBorder="1" applyAlignment="1">
      <alignment horizontal="center"/>
    </xf>
    <xf numFmtId="0" fontId="6" fillId="10" borderId="1" xfId="0" applyFont="1" applyFill="1" applyBorder="1" applyAlignment="1">
      <alignment horizontal="center" vertical="center" textRotation="90"/>
    </xf>
    <xf numFmtId="0" fontId="6" fillId="2" borderId="1" xfId="0" applyFont="1" applyFill="1" applyBorder="1" applyAlignment="1">
      <alignment horizontal="center" vertical="center"/>
    </xf>
    <xf numFmtId="0" fontId="6" fillId="9" borderId="1" xfId="0" applyFont="1" applyFill="1" applyBorder="1" applyAlignment="1">
      <alignment horizontal="center" vertical="center" textRotation="90"/>
    </xf>
    <xf numFmtId="0" fontId="6" fillId="5" borderId="1" xfId="0" applyFont="1" applyFill="1" applyBorder="1" applyAlignment="1">
      <alignment horizontal="center" vertical="center" textRotation="90"/>
    </xf>
    <xf numFmtId="0" fontId="6" fillId="8" borderId="1" xfId="0" applyFont="1" applyFill="1" applyBorder="1" applyAlignment="1">
      <alignment horizontal="center" vertical="center" textRotation="90"/>
    </xf>
    <xf numFmtId="0" fontId="9" fillId="7" borderId="7" xfId="0" applyFont="1" applyFill="1" applyBorder="1" applyAlignment="1">
      <alignment horizontal="center" vertical="center" wrapText="1"/>
    </xf>
    <xf numFmtId="0" fontId="9" fillId="7" borderId="8" xfId="0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horizontal="center" vertical="center" wrapText="1"/>
    </xf>
    <xf numFmtId="0" fontId="6" fillId="7" borderId="7" xfId="0" applyFont="1" applyFill="1" applyBorder="1" applyAlignment="1">
      <alignment horizontal="center" vertical="center" wrapText="1"/>
    </xf>
    <xf numFmtId="0" fontId="6" fillId="7" borderId="8" xfId="0" applyFont="1" applyFill="1" applyBorder="1" applyAlignment="1">
      <alignment horizontal="center" vertical="center" wrapText="1"/>
    </xf>
    <xf numFmtId="0" fontId="9" fillId="7" borderId="5" xfId="0" applyFont="1" applyFill="1" applyBorder="1" applyAlignment="1">
      <alignment horizontal="center" vertical="center" wrapText="1"/>
    </xf>
    <xf numFmtId="0" fontId="9" fillId="7" borderId="6" xfId="0" applyFont="1" applyFill="1" applyBorder="1" applyAlignment="1">
      <alignment horizontal="center" vertical="center" wrapText="1"/>
    </xf>
    <xf numFmtId="0" fontId="9" fillId="7" borderId="4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6" fillId="7" borderId="5" xfId="0" applyFont="1" applyFill="1" applyBorder="1" applyAlignment="1">
      <alignment horizontal="center" vertical="center" wrapText="1"/>
    </xf>
    <xf numFmtId="0" fontId="6" fillId="7" borderId="6" xfId="0" applyFont="1" applyFill="1" applyBorder="1" applyAlignment="1">
      <alignment horizontal="center" vertical="center" wrapText="1"/>
    </xf>
    <xf numFmtId="0" fontId="6" fillId="7" borderId="4" xfId="0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left" vertical="center"/>
    </xf>
    <xf numFmtId="0" fontId="6" fillId="7" borderId="1" xfId="0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 applyProtection="1">
      <alignment horizontal="right" vertical="center"/>
      <protection locked="0"/>
    </xf>
    <xf numFmtId="0" fontId="9" fillId="0" borderId="8" xfId="0" applyFont="1" applyFill="1" applyBorder="1" applyAlignment="1">
      <alignment horizontal="center" vertical="center"/>
    </xf>
    <xf numFmtId="0" fontId="10" fillId="0" borderId="5" xfId="0" applyFont="1" applyBorder="1" applyAlignment="1">
      <alignment horizontal="left" vertical="center"/>
    </xf>
    <xf numFmtId="0" fontId="10" fillId="0" borderId="6" xfId="0" applyFont="1" applyBorder="1" applyAlignment="1">
      <alignment horizontal="left" vertical="center"/>
    </xf>
    <xf numFmtId="0" fontId="10" fillId="0" borderId="4" xfId="0" applyFont="1" applyBorder="1" applyAlignment="1">
      <alignment horizontal="left" vertical="center"/>
    </xf>
    <xf numFmtId="0" fontId="9" fillId="0" borderId="1" xfId="0" applyFont="1" applyFill="1" applyBorder="1" applyAlignment="1">
      <alignment horizontal="right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1" fontId="6" fillId="0" borderId="1" xfId="8" applyNumberFormat="1" applyFont="1" applyFill="1" applyBorder="1" applyAlignment="1">
      <alignment horizontal="center" vertical="center"/>
    </xf>
    <xf numFmtId="0" fontId="6" fillId="0" borderId="9" xfId="0" applyFont="1" applyBorder="1" applyAlignment="1">
      <alignment horizontal="left" vertical="center"/>
    </xf>
    <xf numFmtId="0" fontId="6" fillId="0" borderId="14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17" fillId="0" borderId="5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/>
    </xf>
    <xf numFmtId="0" fontId="17" fillId="0" borderId="15" xfId="0" applyFont="1" applyBorder="1" applyAlignment="1">
      <alignment horizontal="left" vertical="center"/>
    </xf>
    <xf numFmtId="0" fontId="17" fillId="0" borderId="11" xfId="0" applyFont="1" applyBorder="1" applyAlignment="1">
      <alignment horizontal="left" vertical="center"/>
    </xf>
    <xf numFmtId="0" fontId="17" fillId="0" borderId="12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6" fillId="0" borderId="5" xfId="0" applyFont="1" applyFill="1" applyBorder="1" applyAlignment="1">
      <alignment horizontal="right" vertical="center"/>
    </xf>
    <xf numFmtId="0" fontId="6" fillId="0" borderId="6" xfId="0" applyFont="1" applyFill="1" applyBorder="1" applyAlignment="1">
      <alignment horizontal="right" vertical="center"/>
    </xf>
    <xf numFmtId="0" fontId="6" fillId="0" borderId="4" xfId="0" applyFont="1" applyFill="1" applyBorder="1" applyAlignment="1">
      <alignment horizontal="right" vertical="center"/>
    </xf>
    <xf numFmtId="0" fontId="17" fillId="0" borderId="5" xfId="0" applyFont="1" applyBorder="1" applyAlignment="1">
      <alignment horizontal="left" vertical="center"/>
    </xf>
    <xf numFmtId="0" fontId="17" fillId="0" borderId="6" xfId="0" applyFont="1" applyBorder="1" applyAlignment="1">
      <alignment horizontal="left" vertical="center"/>
    </xf>
    <xf numFmtId="0" fontId="17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16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</cellXfs>
  <cellStyles count="9">
    <cellStyle name="Check Cell" xfId="2" builtinId="23"/>
    <cellStyle name="Comma 2" xfId="5"/>
    <cellStyle name="Input" xfId="1" builtinId="20"/>
    <cellStyle name="Normal" xfId="0" builtinId="0"/>
    <cellStyle name="Normal 2" xfId="3"/>
    <cellStyle name="Normal 3" xfId="6"/>
    <cellStyle name="Normal 4" xfId="7"/>
    <cellStyle name="Percent" xfId="8" builtinId="5"/>
    <cellStyle name="Percent 2" xfId="4"/>
  </cellStyles>
  <dxfs count="0"/>
  <tableStyles count="0" defaultTableStyle="TableStyleMedium9" defaultPivotStyle="PivotStyleLight16"/>
  <colors>
    <mruColors>
      <color rgb="FF3399FF"/>
      <color rgb="FF33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sr-Latn-RS" sz="1600" b="0">
                <a:latin typeface="Gill Sans MT" panose="020B0502020104020203" pitchFamily="34" charset="-18"/>
              </a:rPr>
              <a:t>Potrošnja el.energije  Živa80W  i moguće zamjene</a:t>
            </a:r>
            <a:endParaRPr lang="en-US" sz="1600" b="0">
              <a:latin typeface="Gill Sans MT" panose="020B0502020104020203" pitchFamily="34" charset="-18"/>
            </a:endParaRPr>
          </a:p>
        </c:rich>
      </c:tx>
      <c:layout>
        <c:manualLayout>
          <c:xMode val="edge"/>
          <c:yMode val="edge"/>
          <c:x val="0.13961758617731856"/>
          <c:y val="3.2325570611094104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'Živa 80W'!$B$9</c:f>
              <c:strCache>
                <c:ptCount val="1"/>
                <c:pt idx="0">
                  <c:v>Živa 80W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val>
            <c:numRef>
              <c:f>'Živa 80W'!$G$9:$K$9</c:f>
              <c:numCache>
                <c:formatCode>0</c:formatCode>
                <c:ptCount val="5"/>
                <c:pt idx="0">
                  <c:v>407.34</c:v>
                </c:pt>
                <c:pt idx="1">
                  <c:v>814.68</c:v>
                </c:pt>
                <c:pt idx="2">
                  <c:v>1222.02</c:v>
                </c:pt>
                <c:pt idx="3">
                  <c:v>1629.36</c:v>
                </c:pt>
                <c:pt idx="4">
                  <c:v>2036.6999999999998</c:v>
                </c:pt>
              </c:numCache>
            </c:numRef>
          </c:val>
        </c:ser>
        <c:ser>
          <c:idx val="1"/>
          <c:order val="1"/>
          <c:tx>
            <c:strRef>
              <c:f>'Živa 80W'!$C$10</c:f>
              <c:strCache>
                <c:ptCount val="1"/>
                <c:pt idx="0">
                  <c:v>Natrijum VP 70W FMB</c:v>
                </c:pt>
              </c:strCache>
            </c:strRef>
          </c:tx>
          <c:invertIfNegative val="0"/>
          <c:val>
            <c:numRef>
              <c:f>'Živa 80W'!$G$10:$K$10</c:f>
              <c:numCache>
                <c:formatCode>0</c:formatCode>
                <c:ptCount val="5"/>
                <c:pt idx="0">
                  <c:v>363.54</c:v>
                </c:pt>
                <c:pt idx="1">
                  <c:v>727.08</c:v>
                </c:pt>
                <c:pt idx="2">
                  <c:v>1090.6200000000001</c:v>
                </c:pt>
                <c:pt idx="3">
                  <c:v>1454.16</c:v>
                </c:pt>
                <c:pt idx="4">
                  <c:v>1817.7</c:v>
                </c:pt>
              </c:numCache>
            </c:numRef>
          </c:val>
        </c:ser>
        <c:ser>
          <c:idx val="2"/>
          <c:order val="2"/>
          <c:tx>
            <c:strRef>
              <c:f>'Živa 80W'!$C$16</c:f>
              <c:strCache>
                <c:ptCount val="1"/>
                <c:pt idx="0">
                  <c:v>Natrijum VP 70W ELB</c:v>
                </c:pt>
              </c:strCache>
            </c:strRef>
          </c:tx>
          <c:invertIfNegative val="0"/>
          <c:val>
            <c:numRef>
              <c:f>'Živa 80W'!$G$16:$K$16</c:f>
              <c:numCache>
                <c:formatCode>0</c:formatCode>
                <c:ptCount val="5"/>
                <c:pt idx="0">
                  <c:v>306.60000000000002</c:v>
                </c:pt>
                <c:pt idx="1">
                  <c:v>613.20000000000005</c:v>
                </c:pt>
                <c:pt idx="2">
                  <c:v>919.80000000000007</c:v>
                </c:pt>
                <c:pt idx="3">
                  <c:v>1226.4000000000001</c:v>
                </c:pt>
                <c:pt idx="4">
                  <c:v>1533</c:v>
                </c:pt>
              </c:numCache>
            </c:numRef>
          </c:val>
        </c:ser>
        <c:ser>
          <c:idx val="3"/>
          <c:order val="3"/>
          <c:tx>
            <c:strRef>
              <c:f>'Živa 80W'!$C$22</c:f>
              <c:strCache>
                <c:ptCount val="1"/>
                <c:pt idx="0">
                  <c:v>LED 50W</c:v>
                </c:pt>
              </c:strCache>
            </c:strRef>
          </c:tx>
          <c:invertIfNegative val="0"/>
          <c:val>
            <c:numRef>
              <c:f>'Živa 80W'!$G$22:$K$22</c:f>
              <c:numCache>
                <c:formatCode>0</c:formatCode>
                <c:ptCount val="5"/>
                <c:pt idx="0">
                  <c:v>219</c:v>
                </c:pt>
                <c:pt idx="1">
                  <c:v>438</c:v>
                </c:pt>
                <c:pt idx="2">
                  <c:v>657</c:v>
                </c:pt>
                <c:pt idx="3">
                  <c:v>876</c:v>
                </c:pt>
                <c:pt idx="4">
                  <c:v>1095</c:v>
                </c:pt>
              </c:numCache>
            </c:numRef>
          </c:val>
        </c:ser>
        <c:ser>
          <c:idx val="4"/>
          <c:order val="4"/>
          <c:tx>
            <c:strRef>
              <c:f>'Živa 80W'!$C$28</c:f>
              <c:strCache>
                <c:ptCount val="1"/>
                <c:pt idx="0">
                  <c:v>MH -70</c:v>
                </c:pt>
              </c:strCache>
            </c:strRef>
          </c:tx>
          <c:invertIfNegative val="0"/>
          <c:val>
            <c:numRef>
              <c:f>'Živa 80W'!$G$28:$K$28</c:f>
              <c:numCache>
                <c:formatCode>0</c:formatCode>
                <c:ptCount val="5"/>
                <c:pt idx="0">
                  <c:v>363.54</c:v>
                </c:pt>
                <c:pt idx="1">
                  <c:v>727.08</c:v>
                </c:pt>
                <c:pt idx="2">
                  <c:v>1090.6200000000001</c:v>
                </c:pt>
                <c:pt idx="3">
                  <c:v>1454.16</c:v>
                </c:pt>
                <c:pt idx="4">
                  <c:v>1817.7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-1809206192"/>
        <c:axId val="-1809207280"/>
      </c:barChart>
      <c:catAx>
        <c:axId val="-18092061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sr-Latn-RS"/>
                  <a:t>Godine eksploatacije</a:t>
                </a:r>
                <a:endParaRPr lang="en-US"/>
              </a:p>
            </c:rich>
          </c:tx>
          <c:overlay val="0"/>
        </c:title>
        <c:majorTickMark val="none"/>
        <c:minorTickMark val="none"/>
        <c:tickLblPos val="nextTo"/>
        <c:crossAx val="-1809207280"/>
        <c:crosses val="autoZero"/>
        <c:auto val="1"/>
        <c:lblAlgn val="ctr"/>
        <c:lblOffset val="100"/>
        <c:noMultiLvlLbl val="0"/>
      </c:catAx>
      <c:valAx>
        <c:axId val="-1809207280"/>
        <c:scaling>
          <c:orientation val="minMax"/>
        </c:scaling>
        <c:delete val="0"/>
        <c:axPos val="l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sr-Latn-RS"/>
                  <a:t>kWh</a:t>
                </a:r>
                <a:endParaRPr lang="en-US"/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crossAx val="-180920619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LED!$Q$33</c:f>
              <c:strCache>
                <c:ptCount val="1"/>
                <c:pt idx="0">
                  <c:v>Godišnji trošak Živa 250W</c:v>
                </c:pt>
              </c:strCache>
            </c:strRef>
          </c:tx>
          <c:spPr>
            <a:ln>
              <a:solidFill>
                <a:schemeClr val="accent6"/>
              </a:solidFill>
            </a:ln>
          </c:spPr>
          <c:marker>
            <c:symbol val="square"/>
            <c:size val="7"/>
            <c:spPr>
              <a:solidFill>
                <a:schemeClr val="accent6"/>
              </a:solidFill>
              <a:ln>
                <a:solidFill>
                  <a:schemeClr val="accent6"/>
                </a:solidFill>
              </a:ln>
            </c:spPr>
          </c:marker>
          <c:cat>
            <c:numRef>
              <c:f>LED!$U$15:$AB$15</c:f>
              <c:numCache>
                <c:formatCode>General</c:formatCode>
                <c:ptCount val="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</c:numCache>
            </c:numRef>
          </c:cat>
          <c:val>
            <c:numRef>
              <c:f>LED!$U$19:$AB$19</c:f>
              <c:numCache>
                <c:formatCode>0</c:formatCode>
                <c:ptCount val="8"/>
                <c:pt idx="0">
                  <c:v>60.225000000000001</c:v>
                </c:pt>
                <c:pt idx="1">
                  <c:v>148.44999999999999</c:v>
                </c:pt>
                <c:pt idx="2">
                  <c:v>236.67500000000001</c:v>
                </c:pt>
                <c:pt idx="3">
                  <c:v>324.89999999999998</c:v>
                </c:pt>
                <c:pt idx="4">
                  <c:v>413.125</c:v>
                </c:pt>
                <c:pt idx="5">
                  <c:v>473.35</c:v>
                </c:pt>
                <c:pt idx="6">
                  <c:v>561.57500000000005</c:v>
                </c:pt>
                <c:pt idx="7">
                  <c:v>649.79999999999995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LED!$Q$34</c:f>
              <c:strCache>
                <c:ptCount val="1"/>
                <c:pt idx="0">
                  <c:v>Godišnji trošak+investicija LED110s/640 DM</c:v>
                </c:pt>
              </c:strCache>
            </c:strRef>
          </c:tx>
          <c:spPr>
            <a:ln>
              <a:solidFill>
                <a:srgbClr val="339933"/>
              </a:solidFill>
            </a:ln>
          </c:spPr>
          <c:marker>
            <c:spPr>
              <a:solidFill>
                <a:srgbClr val="339933"/>
              </a:solidFill>
            </c:spPr>
          </c:marker>
          <c:cat>
            <c:numRef>
              <c:f>LED!$U$15:$AB$15</c:f>
              <c:numCache>
                <c:formatCode>General</c:formatCode>
                <c:ptCount val="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</c:numCache>
            </c:numRef>
          </c:cat>
          <c:val>
            <c:numRef>
              <c:f>LED!$U$25:$AB$25</c:f>
              <c:numCache>
                <c:formatCode>0</c:formatCode>
                <c:ptCount val="8"/>
                <c:pt idx="0">
                  <c:v>389.43299999999999</c:v>
                </c:pt>
                <c:pt idx="1">
                  <c:v>412.86599999999999</c:v>
                </c:pt>
                <c:pt idx="2">
                  <c:v>436.29899999999998</c:v>
                </c:pt>
                <c:pt idx="3">
                  <c:v>459.73199999999997</c:v>
                </c:pt>
                <c:pt idx="4">
                  <c:v>483.16499999999996</c:v>
                </c:pt>
                <c:pt idx="5">
                  <c:v>506.59800000000001</c:v>
                </c:pt>
                <c:pt idx="6">
                  <c:v>530.03099999999995</c:v>
                </c:pt>
                <c:pt idx="7">
                  <c:v>553.46399999999994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728196544"/>
        <c:axId val="-1728197632"/>
      </c:lineChart>
      <c:catAx>
        <c:axId val="-1728196544"/>
        <c:scaling>
          <c:orientation val="minMax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 b="0"/>
                </a:pPr>
                <a:r>
                  <a:rPr lang="bs-Latn-BA" b="0"/>
                  <a:t>Godina</a:t>
                </a:r>
                <a:endParaRPr lang="en-US" b="0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-1728197632"/>
        <c:crosses val="autoZero"/>
        <c:auto val="1"/>
        <c:lblAlgn val="ctr"/>
        <c:lblOffset val="100"/>
        <c:noMultiLvlLbl val="0"/>
      </c:catAx>
      <c:valAx>
        <c:axId val="-172819763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b="0"/>
                </a:pPr>
                <a:r>
                  <a:rPr lang="bs-Latn-BA" b="0"/>
                  <a:t>EUR</a:t>
                </a:r>
                <a:endParaRPr lang="en-US" b="0"/>
              </a:p>
            </c:rich>
          </c:tx>
          <c:layout>
            <c:manualLayout>
              <c:xMode val="edge"/>
              <c:yMode val="edge"/>
              <c:x val="8.1002595272127269E-3"/>
              <c:y val="0.38952315186881198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1000"/>
            </a:pPr>
            <a:endParaRPr lang="en-US"/>
          </a:p>
        </c:txPr>
        <c:crossAx val="-1728196544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1000"/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0">
                <a:latin typeface="Gill Sans MT" panose="020B0502020104020203" pitchFamily="34" charset="-18"/>
              </a:defRPr>
            </a:pPr>
            <a:r>
              <a:rPr lang="en-US" sz="1600" b="0">
                <a:latin typeface="Gill Sans MT" panose="020B0502020104020203" pitchFamily="34" charset="-18"/>
              </a:rPr>
              <a:t>Period povrata investicije</a:t>
            </a:r>
          </a:p>
        </c:rich>
      </c:tx>
      <c:layout>
        <c:manualLayout>
          <c:xMode val="edge"/>
          <c:yMode val="edge"/>
          <c:x val="0.29398181740305057"/>
          <c:y val="5.0632911392405063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'Živa 80W'!$O$34</c:f>
              <c:strCache>
                <c:ptCount val="1"/>
                <c:pt idx="0">
                  <c:v>Godišnji trošak Živa 80W</c:v>
                </c:pt>
              </c:strCache>
            </c:strRef>
          </c:tx>
          <c:spPr>
            <a:ln>
              <a:solidFill>
                <a:schemeClr val="accent6"/>
              </a:solidFill>
            </a:ln>
          </c:spPr>
          <c:marker>
            <c:symbol val="square"/>
            <c:size val="7"/>
            <c:spPr>
              <a:solidFill>
                <a:schemeClr val="accent6"/>
              </a:solidFill>
              <a:ln>
                <a:solidFill>
                  <a:schemeClr val="accent6"/>
                </a:solidFill>
              </a:ln>
            </c:spPr>
          </c:marker>
          <c:val>
            <c:numRef>
              <c:f>'Živa 80W'!$S$19:$W$19</c:f>
              <c:numCache>
                <c:formatCode>0</c:formatCode>
                <c:ptCount val="5"/>
                <c:pt idx="0">
                  <c:v>44.807399999999994</c:v>
                </c:pt>
                <c:pt idx="1">
                  <c:v>114.61479999999999</c:v>
                </c:pt>
                <c:pt idx="2">
                  <c:v>184.4222</c:v>
                </c:pt>
                <c:pt idx="3">
                  <c:v>254.22959999999998</c:v>
                </c:pt>
                <c:pt idx="4">
                  <c:v>324.03699999999998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'Živa 80W'!$O$35</c:f>
              <c:strCache>
                <c:ptCount val="1"/>
                <c:pt idx="0">
                  <c:v>Godišnji trošak+investicija NVP70W / SON-T70W</c:v>
                </c:pt>
              </c:strCache>
            </c:strRef>
          </c:tx>
          <c:spPr>
            <a:ln>
              <a:solidFill>
                <a:schemeClr val="accent3"/>
              </a:solidFill>
            </a:ln>
          </c:spPr>
          <c:val>
            <c:numRef>
              <c:f>'Živa 80W'!$S$25:$W$25</c:f>
              <c:numCache>
                <c:formatCode>0</c:formatCode>
                <c:ptCount val="5"/>
                <c:pt idx="0">
                  <c:v>128.98939999999999</c:v>
                </c:pt>
                <c:pt idx="1">
                  <c:v>168.97879999999998</c:v>
                </c:pt>
                <c:pt idx="2">
                  <c:v>208.96819999999997</c:v>
                </c:pt>
                <c:pt idx="3">
                  <c:v>248.95759999999999</c:v>
                </c:pt>
                <c:pt idx="4">
                  <c:v>288.947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9199664"/>
        <c:axId val="-1809209456"/>
      </c:lineChart>
      <c:catAx>
        <c:axId val="-1809199664"/>
        <c:scaling>
          <c:orientation val="minMax"/>
        </c:scaling>
        <c:delete val="0"/>
        <c:axPos val="b"/>
        <c:majorGridlines/>
        <c:minorGridlines/>
        <c:majorTickMark val="none"/>
        <c:minorTickMark val="none"/>
        <c:tickLblPos val="nextTo"/>
        <c:crossAx val="-1809209456"/>
        <c:crosses val="autoZero"/>
        <c:auto val="1"/>
        <c:lblAlgn val="ctr"/>
        <c:lblOffset val="100"/>
        <c:noMultiLvlLbl val="0"/>
      </c:catAx>
      <c:valAx>
        <c:axId val="-180920945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b="0"/>
                </a:pPr>
                <a:r>
                  <a:rPr lang="bs-Latn-BA" b="0"/>
                  <a:t>EUR</a:t>
                </a:r>
                <a:endParaRPr lang="en-US" b="0"/>
              </a:p>
            </c:rich>
          </c:tx>
          <c:overlay val="0"/>
        </c:title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sz="1000"/>
            </a:pPr>
            <a:endParaRPr lang="en-US"/>
          </a:p>
        </c:txPr>
        <c:crossAx val="-1809199664"/>
        <c:crosses val="autoZero"/>
        <c:crossBetween val="midCat"/>
      </c:valAx>
      <c:spPr>
        <a:ln>
          <a:gradFill>
            <a:gsLst>
              <a:gs pos="0">
                <a:schemeClr val="accent1">
                  <a:tint val="66000"/>
                  <a:satMod val="160000"/>
                </a:schemeClr>
              </a:gs>
              <a:gs pos="50000">
                <a:schemeClr val="accent1">
                  <a:tint val="44500"/>
                  <a:satMod val="160000"/>
                </a:schemeClr>
              </a:gs>
              <a:gs pos="100000">
                <a:schemeClr val="accent1">
                  <a:tint val="23500"/>
                  <a:satMod val="160000"/>
                </a:schemeClr>
              </a:gs>
            </a:gsLst>
            <a:lin ang="5400000" scaled="0"/>
          </a:gradFill>
        </a:ln>
      </c:spPr>
    </c:plotArea>
    <c:legend>
      <c:legendPos val="r"/>
      <c:overlay val="0"/>
      <c:txPr>
        <a:bodyPr/>
        <a:lstStyle/>
        <a:p>
          <a:pPr>
            <a:defRPr sz="1000"/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sr-Latn-RS" sz="1600" b="0">
                <a:latin typeface="Gill Sans MT" panose="020B0502020104020203" pitchFamily="34" charset="-18"/>
              </a:rPr>
              <a:t>Potrošnja el.energije  Živa</a:t>
            </a:r>
            <a:r>
              <a:rPr lang="en-US" sz="1600" b="0">
                <a:latin typeface="Gill Sans MT" panose="020B0502020104020203" pitchFamily="34" charset="-18"/>
              </a:rPr>
              <a:t>125</a:t>
            </a:r>
            <a:r>
              <a:rPr lang="sr-Latn-RS" sz="1600" b="0">
                <a:latin typeface="Gill Sans MT" panose="020B0502020104020203" pitchFamily="34" charset="-18"/>
              </a:rPr>
              <a:t>W  i moguće zamjene</a:t>
            </a:r>
            <a:endParaRPr lang="en-US" sz="1600" b="0">
              <a:latin typeface="Gill Sans MT" panose="020B0502020104020203" pitchFamily="34" charset="-18"/>
            </a:endParaRPr>
          </a:p>
        </c:rich>
      </c:tx>
      <c:layout>
        <c:manualLayout>
          <c:xMode val="edge"/>
          <c:yMode val="edge"/>
          <c:x val="0.13961758617731856"/>
          <c:y val="3.2325570611094104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'Živa 125W'!$B$9</c:f>
              <c:strCache>
                <c:ptCount val="1"/>
                <c:pt idx="0">
                  <c:v>Živa 125W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val>
            <c:numRef>
              <c:f>'Živa 125W'!$G$9:$K$9</c:f>
              <c:numCache>
                <c:formatCode>0</c:formatCode>
                <c:ptCount val="5"/>
                <c:pt idx="0">
                  <c:v>635.1</c:v>
                </c:pt>
                <c:pt idx="1">
                  <c:v>1270.2</c:v>
                </c:pt>
                <c:pt idx="2">
                  <c:v>1905.3000000000002</c:v>
                </c:pt>
                <c:pt idx="3">
                  <c:v>2540.4</c:v>
                </c:pt>
                <c:pt idx="4">
                  <c:v>3175.5</c:v>
                </c:pt>
              </c:numCache>
            </c:numRef>
          </c:val>
        </c:ser>
        <c:ser>
          <c:idx val="1"/>
          <c:order val="1"/>
          <c:tx>
            <c:strRef>
              <c:f>'Živa 125W'!$C$10</c:f>
              <c:strCache>
                <c:ptCount val="1"/>
                <c:pt idx="0">
                  <c:v>Natrijum VP 70W FMB</c:v>
                </c:pt>
              </c:strCache>
            </c:strRef>
          </c:tx>
          <c:invertIfNegative val="0"/>
          <c:val>
            <c:numRef>
              <c:f>'Živa 125W'!$G$10:$K$10</c:f>
              <c:numCache>
                <c:formatCode>0</c:formatCode>
                <c:ptCount val="5"/>
                <c:pt idx="0">
                  <c:v>363.54</c:v>
                </c:pt>
                <c:pt idx="1">
                  <c:v>727.08</c:v>
                </c:pt>
                <c:pt idx="2">
                  <c:v>1090.6200000000001</c:v>
                </c:pt>
                <c:pt idx="3">
                  <c:v>1454.16</c:v>
                </c:pt>
                <c:pt idx="4">
                  <c:v>1817.7</c:v>
                </c:pt>
              </c:numCache>
            </c:numRef>
          </c:val>
        </c:ser>
        <c:ser>
          <c:idx val="2"/>
          <c:order val="2"/>
          <c:tx>
            <c:strRef>
              <c:f>'Živa 125W'!$C$16</c:f>
              <c:strCache>
                <c:ptCount val="1"/>
                <c:pt idx="0">
                  <c:v>Natrijum VP 70W ELB</c:v>
                </c:pt>
              </c:strCache>
            </c:strRef>
          </c:tx>
          <c:invertIfNegative val="0"/>
          <c:val>
            <c:numRef>
              <c:f>'Živa 125W'!$G$16:$K$16</c:f>
              <c:numCache>
                <c:formatCode>0</c:formatCode>
                <c:ptCount val="5"/>
                <c:pt idx="0">
                  <c:v>306.60000000000002</c:v>
                </c:pt>
                <c:pt idx="1">
                  <c:v>613.20000000000005</c:v>
                </c:pt>
                <c:pt idx="2">
                  <c:v>919.80000000000007</c:v>
                </c:pt>
                <c:pt idx="3">
                  <c:v>1226.4000000000001</c:v>
                </c:pt>
                <c:pt idx="4">
                  <c:v>1533</c:v>
                </c:pt>
              </c:numCache>
            </c:numRef>
          </c:val>
        </c:ser>
        <c:ser>
          <c:idx val="3"/>
          <c:order val="3"/>
          <c:tx>
            <c:strRef>
              <c:f>'Živa 125W'!$C$22</c:f>
              <c:strCache>
                <c:ptCount val="1"/>
                <c:pt idx="0">
                  <c:v> LED 50W</c:v>
                </c:pt>
              </c:strCache>
            </c:strRef>
          </c:tx>
          <c:invertIfNegative val="0"/>
          <c:val>
            <c:numRef>
              <c:f>'Živa 125W'!$G$22:$K$22</c:f>
              <c:numCache>
                <c:formatCode>0</c:formatCode>
                <c:ptCount val="5"/>
                <c:pt idx="0">
                  <c:v>219</c:v>
                </c:pt>
                <c:pt idx="1">
                  <c:v>438</c:v>
                </c:pt>
                <c:pt idx="2">
                  <c:v>657</c:v>
                </c:pt>
                <c:pt idx="3">
                  <c:v>876</c:v>
                </c:pt>
                <c:pt idx="4">
                  <c:v>1095</c:v>
                </c:pt>
              </c:numCache>
            </c:numRef>
          </c:val>
        </c:ser>
        <c:ser>
          <c:idx val="4"/>
          <c:order val="4"/>
          <c:tx>
            <c:strRef>
              <c:f>'Živa 125W'!$C$28</c:f>
              <c:strCache>
                <c:ptCount val="1"/>
                <c:pt idx="0">
                  <c:v>MH -70</c:v>
                </c:pt>
              </c:strCache>
            </c:strRef>
          </c:tx>
          <c:invertIfNegative val="0"/>
          <c:val>
            <c:numRef>
              <c:f>'Živa 125W'!$G$28:$K$28</c:f>
              <c:numCache>
                <c:formatCode>0</c:formatCode>
                <c:ptCount val="5"/>
                <c:pt idx="0">
                  <c:v>363.54</c:v>
                </c:pt>
                <c:pt idx="1">
                  <c:v>727.08</c:v>
                </c:pt>
                <c:pt idx="2">
                  <c:v>1090.6200000000001</c:v>
                </c:pt>
                <c:pt idx="3">
                  <c:v>1454.16</c:v>
                </c:pt>
                <c:pt idx="4">
                  <c:v>1817.7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-1983125552"/>
        <c:axId val="-1983129904"/>
      </c:barChart>
      <c:catAx>
        <c:axId val="-19831255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sr-Latn-RS"/>
                  <a:t>Godine eksploatacije</a:t>
                </a:r>
                <a:endParaRPr lang="en-US"/>
              </a:p>
            </c:rich>
          </c:tx>
          <c:overlay val="0"/>
        </c:title>
        <c:majorTickMark val="none"/>
        <c:minorTickMark val="none"/>
        <c:tickLblPos val="nextTo"/>
        <c:crossAx val="-1983129904"/>
        <c:crosses val="autoZero"/>
        <c:auto val="1"/>
        <c:lblAlgn val="ctr"/>
        <c:lblOffset val="100"/>
        <c:noMultiLvlLbl val="0"/>
      </c:catAx>
      <c:valAx>
        <c:axId val="-1983129904"/>
        <c:scaling>
          <c:orientation val="minMax"/>
        </c:scaling>
        <c:delete val="0"/>
        <c:axPos val="l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sr-Latn-RS"/>
                  <a:t>kWh</a:t>
                </a:r>
                <a:endParaRPr lang="en-US"/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crossAx val="-198312555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0">
                <a:latin typeface="Gill Sans MT" panose="020B0502020104020203" pitchFamily="34" charset="-18"/>
              </a:defRPr>
            </a:pPr>
            <a:r>
              <a:rPr lang="en-US" sz="1600" b="0">
                <a:latin typeface="Gill Sans MT" panose="020B0502020104020203" pitchFamily="34" charset="-18"/>
              </a:rPr>
              <a:t>Period povrata investicije</a:t>
            </a:r>
          </a:p>
        </c:rich>
      </c:tx>
      <c:layout>
        <c:manualLayout>
          <c:xMode val="edge"/>
          <c:yMode val="edge"/>
          <c:x val="0.29398181740305057"/>
          <c:y val="5.0632911392405063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'Živa 125W'!$O$34</c:f>
              <c:strCache>
                <c:ptCount val="1"/>
                <c:pt idx="0">
                  <c:v>Godišnji trošak Živa 125W</c:v>
                </c:pt>
              </c:strCache>
            </c:strRef>
          </c:tx>
          <c:spPr>
            <a:ln>
              <a:solidFill>
                <a:schemeClr val="accent6"/>
              </a:solidFill>
            </a:ln>
          </c:spPr>
          <c:marker>
            <c:symbol val="square"/>
            <c:size val="7"/>
            <c:spPr>
              <a:solidFill>
                <a:schemeClr val="accent6"/>
              </a:solidFill>
              <a:ln>
                <a:solidFill>
                  <a:schemeClr val="accent6"/>
                </a:solidFill>
              </a:ln>
            </c:spPr>
          </c:marker>
          <c:val>
            <c:numRef>
              <c:f>'Živa 125W'!$S$19:$W$19</c:f>
              <c:numCache>
                <c:formatCode>0</c:formatCode>
                <c:ptCount val="5"/>
                <c:pt idx="0">
                  <c:v>31.755000000000003</c:v>
                </c:pt>
                <c:pt idx="1">
                  <c:v>88.51</c:v>
                </c:pt>
                <c:pt idx="2">
                  <c:v>145.26500000000001</c:v>
                </c:pt>
                <c:pt idx="3">
                  <c:v>202.02</c:v>
                </c:pt>
                <c:pt idx="4">
                  <c:v>258.77499999999998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'Živa 125W'!$O$35</c:f>
              <c:strCache>
                <c:ptCount val="1"/>
                <c:pt idx="0">
                  <c:v>Godišnji trošak+investicija NVP70W / SON-T70W</c:v>
                </c:pt>
              </c:strCache>
            </c:strRef>
          </c:tx>
          <c:spPr>
            <a:ln>
              <a:solidFill>
                <a:schemeClr val="accent3"/>
              </a:solidFill>
            </a:ln>
          </c:spPr>
          <c:val>
            <c:numRef>
              <c:f>'Živa 125W'!$S$25:$W$25</c:f>
              <c:numCache>
                <c:formatCode>0</c:formatCode>
                <c:ptCount val="5"/>
                <c:pt idx="0">
                  <c:v>107.17699999999999</c:v>
                </c:pt>
                <c:pt idx="1">
                  <c:v>125.354</c:v>
                </c:pt>
                <c:pt idx="2">
                  <c:v>143.53100000000001</c:v>
                </c:pt>
                <c:pt idx="3">
                  <c:v>161.708</c:v>
                </c:pt>
                <c:pt idx="4">
                  <c:v>179.88499999999999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728203616"/>
        <c:axId val="-1728199264"/>
      </c:lineChart>
      <c:catAx>
        <c:axId val="-1728203616"/>
        <c:scaling>
          <c:orientation val="minMax"/>
        </c:scaling>
        <c:delete val="0"/>
        <c:axPos val="b"/>
        <c:majorGridlines/>
        <c:minorGridlines/>
        <c:majorTickMark val="none"/>
        <c:minorTickMark val="none"/>
        <c:tickLblPos val="nextTo"/>
        <c:crossAx val="-1728199264"/>
        <c:crosses val="autoZero"/>
        <c:auto val="1"/>
        <c:lblAlgn val="ctr"/>
        <c:lblOffset val="100"/>
        <c:noMultiLvlLbl val="0"/>
      </c:catAx>
      <c:valAx>
        <c:axId val="-172819926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b="0"/>
                </a:pPr>
                <a:r>
                  <a:rPr lang="bs-Latn-BA" b="0"/>
                  <a:t>EUR</a:t>
                </a:r>
                <a:endParaRPr lang="en-US" b="0"/>
              </a:p>
            </c:rich>
          </c:tx>
          <c:overlay val="0"/>
        </c:title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sz="1000"/>
            </a:pPr>
            <a:endParaRPr lang="en-US"/>
          </a:p>
        </c:txPr>
        <c:crossAx val="-1728203616"/>
        <c:crosses val="autoZero"/>
        <c:crossBetween val="midCat"/>
      </c:valAx>
      <c:spPr>
        <a:ln>
          <a:gradFill>
            <a:gsLst>
              <a:gs pos="0">
                <a:schemeClr val="accent1">
                  <a:tint val="66000"/>
                  <a:satMod val="160000"/>
                </a:schemeClr>
              </a:gs>
              <a:gs pos="50000">
                <a:schemeClr val="accent1">
                  <a:tint val="44500"/>
                  <a:satMod val="160000"/>
                </a:schemeClr>
              </a:gs>
              <a:gs pos="100000">
                <a:schemeClr val="accent1">
                  <a:tint val="23500"/>
                  <a:satMod val="160000"/>
                </a:schemeClr>
              </a:gs>
            </a:gsLst>
            <a:lin ang="5400000" scaled="0"/>
          </a:gradFill>
        </a:ln>
      </c:spPr>
    </c:plotArea>
    <c:legend>
      <c:legendPos val="r"/>
      <c:overlay val="0"/>
      <c:txPr>
        <a:bodyPr/>
        <a:lstStyle/>
        <a:p>
          <a:pPr>
            <a:defRPr sz="1000"/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sr-Latn-RS" sz="1600" b="0">
                <a:latin typeface="Gill Sans MT" panose="020B0502020104020203" pitchFamily="34" charset="-18"/>
              </a:rPr>
              <a:t>Potrošnja el.energije  Živa</a:t>
            </a:r>
            <a:r>
              <a:rPr lang="en-US" sz="1600" b="0">
                <a:latin typeface="Gill Sans MT" panose="020B0502020104020203" pitchFamily="34" charset="-18"/>
              </a:rPr>
              <a:t>250</a:t>
            </a:r>
            <a:r>
              <a:rPr lang="sr-Latn-RS" sz="1600" b="0">
                <a:latin typeface="Gill Sans MT" panose="020B0502020104020203" pitchFamily="34" charset="-18"/>
              </a:rPr>
              <a:t>W  i moguće zamjene</a:t>
            </a:r>
            <a:endParaRPr lang="en-US" sz="1600" b="0">
              <a:latin typeface="Gill Sans MT" panose="020B0502020104020203" pitchFamily="34" charset="-18"/>
            </a:endParaRPr>
          </a:p>
        </c:rich>
      </c:tx>
      <c:layout>
        <c:manualLayout>
          <c:xMode val="edge"/>
          <c:yMode val="edge"/>
          <c:x val="0.13961758617731856"/>
          <c:y val="3.2325570611094104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'Živa 250W'!$B$9</c:f>
              <c:strCache>
                <c:ptCount val="1"/>
                <c:pt idx="0">
                  <c:v>Živa 250W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val>
            <c:numRef>
              <c:f>'Živa 250W'!$G$9:$K$9</c:f>
              <c:numCache>
                <c:formatCode>0</c:formatCode>
                <c:ptCount val="5"/>
                <c:pt idx="0">
                  <c:v>1204.5</c:v>
                </c:pt>
                <c:pt idx="1">
                  <c:v>2409</c:v>
                </c:pt>
                <c:pt idx="2">
                  <c:v>3613.5</c:v>
                </c:pt>
                <c:pt idx="3">
                  <c:v>4818</c:v>
                </c:pt>
                <c:pt idx="4">
                  <c:v>6022.5</c:v>
                </c:pt>
              </c:numCache>
            </c:numRef>
          </c:val>
        </c:ser>
        <c:ser>
          <c:idx val="1"/>
          <c:order val="1"/>
          <c:tx>
            <c:strRef>
              <c:f>'Živa 250W'!$C$10</c:f>
              <c:strCache>
                <c:ptCount val="1"/>
                <c:pt idx="0">
                  <c:v>Natrijum VP 150W FMB</c:v>
                </c:pt>
              </c:strCache>
            </c:strRef>
          </c:tx>
          <c:invertIfNegative val="0"/>
          <c:val>
            <c:numRef>
              <c:f>'Živa 250W'!$G$10:$K$10</c:f>
              <c:numCache>
                <c:formatCode>0</c:formatCode>
                <c:ptCount val="5"/>
                <c:pt idx="0">
                  <c:v>731.46</c:v>
                </c:pt>
                <c:pt idx="1">
                  <c:v>1462.92</c:v>
                </c:pt>
                <c:pt idx="2">
                  <c:v>2194.38</c:v>
                </c:pt>
                <c:pt idx="3">
                  <c:v>2925.84</c:v>
                </c:pt>
                <c:pt idx="4">
                  <c:v>3657.3</c:v>
                </c:pt>
              </c:numCache>
            </c:numRef>
          </c:val>
        </c:ser>
        <c:ser>
          <c:idx val="2"/>
          <c:order val="2"/>
          <c:tx>
            <c:strRef>
              <c:f>'Živa 250W'!$C$16</c:f>
              <c:strCache>
                <c:ptCount val="1"/>
                <c:pt idx="0">
                  <c:v>Natrijum VP 150W ELB</c:v>
                </c:pt>
              </c:strCache>
            </c:strRef>
          </c:tx>
          <c:invertIfNegative val="0"/>
          <c:val>
            <c:numRef>
              <c:f>'Živa 250W'!$G$16:$K$16</c:f>
              <c:numCache>
                <c:formatCode>0</c:formatCode>
                <c:ptCount val="5"/>
                <c:pt idx="0">
                  <c:v>657</c:v>
                </c:pt>
                <c:pt idx="1">
                  <c:v>1314</c:v>
                </c:pt>
                <c:pt idx="2">
                  <c:v>1971</c:v>
                </c:pt>
                <c:pt idx="3">
                  <c:v>2628</c:v>
                </c:pt>
                <c:pt idx="4">
                  <c:v>3285</c:v>
                </c:pt>
              </c:numCache>
            </c:numRef>
          </c:val>
        </c:ser>
        <c:ser>
          <c:idx val="3"/>
          <c:order val="3"/>
          <c:tx>
            <c:strRef>
              <c:f>'Živa 250W'!$C$22</c:f>
              <c:strCache>
                <c:ptCount val="1"/>
                <c:pt idx="0">
                  <c:v>LED 70</c:v>
                </c:pt>
              </c:strCache>
            </c:strRef>
          </c:tx>
          <c:invertIfNegative val="0"/>
          <c:val>
            <c:numRef>
              <c:f>'Živa 250W'!$G$22:$K$22</c:f>
              <c:numCache>
                <c:formatCode>0</c:formatCode>
                <c:ptCount val="5"/>
                <c:pt idx="0">
                  <c:v>306.60000000000002</c:v>
                </c:pt>
                <c:pt idx="1">
                  <c:v>613.20000000000005</c:v>
                </c:pt>
                <c:pt idx="2">
                  <c:v>919.80000000000007</c:v>
                </c:pt>
                <c:pt idx="3">
                  <c:v>1226.4000000000001</c:v>
                </c:pt>
                <c:pt idx="4">
                  <c:v>1533</c:v>
                </c:pt>
              </c:numCache>
            </c:numRef>
          </c:val>
        </c:ser>
        <c:ser>
          <c:idx val="4"/>
          <c:order val="4"/>
          <c:tx>
            <c:strRef>
              <c:f>'Živa 250W'!$C$28</c:f>
              <c:strCache>
                <c:ptCount val="1"/>
                <c:pt idx="0">
                  <c:v>MH 150W</c:v>
                </c:pt>
              </c:strCache>
            </c:strRef>
          </c:tx>
          <c:invertIfNegative val="0"/>
          <c:val>
            <c:numRef>
              <c:f>'Živa 250W'!$G$28:$K$28</c:f>
              <c:numCache>
                <c:formatCode>0</c:formatCode>
                <c:ptCount val="5"/>
                <c:pt idx="0">
                  <c:v>731.46</c:v>
                </c:pt>
                <c:pt idx="1">
                  <c:v>1462.92</c:v>
                </c:pt>
                <c:pt idx="2">
                  <c:v>2194.38</c:v>
                </c:pt>
                <c:pt idx="3">
                  <c:v>2925.84</c:v>
                </c:pt>
                <c:pt idx="4">
                  <c:v>3657.3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-1728203072"/>
        <c:axId val="-1728195456"/>
      </c:barChart>
      <c:catAx>
        <c:axId val="-17282030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sr-Latn-RS"/>
                  <a:t>Godine eksploatacije</a:t>
                </a:r>
                <a:endParaRPr lang="en-US"/>
              </a:p>
            </c:rich>
          </c:tx>
          <c:overlay val="0"/>
        </c:title>
        <c:majorTickMark val="none"/>
        <c:minorTickMark val="none"/>
        <c:tickLblPos val="nextTo"/>
        <c:crossAx val="-1728195456"/>
        <c:crosses val="autoZero"/>
        <c:auto val="1"/>
        <c:lblAlgn val="ctr"/>
        <c:lblOffset val="100"/>
        <c:noMultiLvlLbl val="0"/>
      </c:catAx>
      <c:valAx>
        <c:axId val="-1728195456"/>
        <c:scaling>
          <c:orientation val="minMax"/>
        </c:scaling>
        <c:delete val="0"/>
        <c:axPos val="l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sr-Latn-RS"/>
                  <a:t>kWh</a:t>
                </a:r>
                <a:endParaRPr lang="en-US"/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crossAx val="-172820307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0">
                <a:latin typeface="Gill Sans MT" panose="020B0502020104020203" pitchFamily="34" charset="-18"/>
              </a:defRPr>
            </a:pPr>
            <a:r>
              <a:rPr lang="en-US" sz="1600" b="0">
                <a:latin typeface="Gill Sans MT" panose="020B0502020104020203" pitchFamily="34" charset="-18"/>
              </a:rPr>
              <a:t>Period povrata investicije</a:t>
            </a:r>
          </a:p>
        </c:rich>
      </c:tx>
      <c:layout>
        <c:manualLayout>
          <c:xMode val="edge"/>
          <c:yMode val="edge"/>
          <c:x val="0.29398181740305057"/>
          <c:y val="5.0632911392405063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'Živa 250W'!$O$34</c:f>
              <c:strCache>
                <c:ptCount val="1"/>
                <c:pt idx="0">
                  <c:v>Godišnji trošak Živa 250W</c:v>
                </c:pt>
              </c:strCache>
            </c:strRef>
          </c:tx>
          <c:spPr>
            <a:ln>
              <a:solidFill>
                <a:schemeClr val="accent6"/>
              </a:solidFill>
            </a:ln>
          </c:spPr>
          <c:marker>
            <c:symbol val="square"/>
            <c:size val="7"/>
            <c:spPr>
              <a:solidFill>
                <a:schemeClr val="accent6"/>
              </a:solidFill>
              <a:ln>
                <a:solidFill>
                  <a:schemeClr val="accent6"/>
                </a:solidFill>
              </a:ln>
            </c:spPr>
          </c:marker>
          <c:val>
            <c:numRef>
              <c:f>'Živa 250W'!$S$19:$W$19</c:f>
              <c:numCache>
                <c:formatCode>0</c:formatCode>
                <c:ptCount val="5"/>
                <c:pt idx="0">
                  <c:v>60.225000000000001</c:v>
                </c:pt>
                <c:pt idx="1">
                  <c:v>148.44999999999999</c:v>
                </c:pt>
                <c:pt idx="2">
                  <c:v>236.67500000000001</c:v>
                </c:pt>
                <c:pt idx="3">
                  <c:v>324.89999999999998</c:v>
                </c:pt>
                <c:pt idx="4">
                  <c:v>413.125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'Živa 250W'!$O$35</c:f>
              <c:strCache>
                <c:ptCount val="1"/>
                <c:pt idx="0">
                  <c:v>Godišnji trošak+investicija NVP 150W Tip:SON-T 150W</c:v>
                </c:pt>
              </c:strCache>
            </c:strRef>
          </c:tx>
          <c:spPr>
            <a:ln>
              <a:solidFill>
                <a:schemeClr val="accent3"/>
              </a:solidFill>
            </a:ln>
          </c:spPr>
          <c:val>
            <c:numRef>
              <c:f>'Živa 250W'!$S$25:$W$25</c:f>
              <c:numCache>
                <c:formatCode>0</c:formatCode>
                <c:ptCount val="5"/>
                <c:pt idx="0">
                  <c:v>176.57300000000001</c:v>
                </c:pt>
                <c:pt idx="1">
                  <c:v>213.14600000000002</c:v>
                </c:pt>
                <c:pt idx="2">
                  <c:v>249.71899999999999</c:v>
                </c:pt>
                <c:pt idx="3">
                  <c:v>286.29200000000003</c:v>
                </c:pt>
                <c:pt idx="4">
                  <c:v>322.86500000000001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728201984"/>
        <c:axId val="-1728188928"/>
      </c:lineChart>
      <c:catAx>
        <c:axId val="-1728201984"/>
        <c:scaling>
          <c:orientation val="minMax"/>
        </c:scaling>
        <c:delete val="0"/>
        <c:axPos val="b"/>
        <c:majorGridlines/>
        <c:minorGridlines/>
        <c:majorTickMark val="none"/>
        <c:minorTickMark val="none"/>
        <c:tickLblPos val="nextTo"/>
        <c:crossAx val="-1728188928"/>
        <c:crosses val="autoZero"/>
        <c:auto val="1"/>
        <c:lblAlgn val="ctr"/>
        <c:lblOffset val="100"/>
        <c:noMultiLvlLbl val="0"/>
      </c:catAx>
      <c:valAx>
        <c:axId val="-172818892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b="0"/>
                </a:pPr>
                <a:r>
                  <a:rPr lang="bs-Latn-BA" b="0"/>
                  <a:t>EUR</a:t>
                </a:r>
                <a:endParaRPr lang="en-US" b="0"/>
              </a:p>
            </c:rich>
          </c:tx>
          <c:overlay val="0"/>
        </c:title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sz="1000"/>
            </a:pPr>
            <a:endParaRPr lang="en-US"/>
          </a:p>
        </c:txPr>
        <c:crossAx val="-1728201984"/>
        <c:crosses val="autoZero"/>
        <c:crossBetween val="midCat"/>
      </c:valAx>
      <c:spPr>
        <a:ln>
          <a:gradFill>
            <a:gsLst>
              <a:gs pos="0">
                <a:schemeClr val="accent1">
                  <a:tint val="66000"/>
                  <a:satMod val="160000"/>
                </a:schemeClr>
              </a:gs>
              <a:gs pos="50000">
                <a:schemeClr val="accent1">
                  <a:tint val="44500"/>
                  <a:satMod val="160000"/>
                </a:schemeClr>
              </a:gs>
              <a:gs pos="100000">
                <a:schemeClr val="accent1">
                  <a:tint val="23500"/>
                  <a:satMod val="160000"/>
                </a:schemeClr>
              </a:gs>
            </a:gsLst>
            <a:lin ang="5400000" scaled="0"/>
          </a:gradFill>
        </a:ln>
      </c:spPr>
    </c:plotArea>
    <c:legend>
      <c:legendPos val="r"/>
      <c:overlay val="0"/>
      <c:txPr>
        <a:bodyPr/>
        <a:lstStyle/>
        <a:p>
          <a:pPr>
            <a:defRPr sz="1000"/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sr-Latn-RS" sz="1600" b="0">
                <a:latin typeface="Gill Sans MT" panose="020B0502020104020203" pitchFamily="34" charset="-18"/>
              </a:rPr>
              <a:t>Potrošnja el.energije  Živa</a:t>
            </a:r>
            <a:r>
              <a:rPr lang="en-US" sz="1600" b="0">
                <a:latin typeface="Gill Sans MT" panose="020B0502020104020203" pitchFamily="34" charset="-18"/>
              </a:rPr>
              <a:t>400</a:t>
            </a:r>
            <a:r>
              <a:rPr lang="sr-Latn-RS" sz="1600" b="0">
                <a:latin typeface="Gill Sans MT" panose="020B0502020104020203" pitchFamily="34" charset="-18"/>
              </a:rPr>
              <a:t>W  i moguće zamjene</a:t>
            </a:r>
            <a:endParaRPr lang="en-US" sz="1600" b="0">
              <a:latin typeface="Gill Sans MT" panose="020B0502020104020203" pitchFamily="34" charset="-18"/>
            </a:endParaRPr>
          </a:p>
        </c:rich>
      </c:tx>
      <c:layout>
        <c:manualLayout>
          <c:xMode val="edge"/>
          <c:yMode val="edge"/>
          <c:x val="0.13961758617731856"/>
          <c:y val="3.2325570611094104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'Živa 400W'!$B$9</c:f>
              <c:strCache>
                <c:ptCount val="1"/>
                <c:pt idx="0">
                  <c:v>Živa 400W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val>
            <c:numRef>
              <c:f>'Živa 400W'!$G$9:$K$9</c:f>
              <c:numCache>
                <c:formatCode>0</c:formatCode>
                <c:ptCount val="5"/>
                <c:pt idx="0">
                  <c:v>1927.2</c:v>
                </c:pt>
                <c:pt idx="1">
                  <c:v>3854.4</c:v>
                </c:pt>
                <c:pt idx="2">
                  <c:v>5781.6</c:v>
                </c:pt>
                <c:pt idx="3">
                  <c:v>7708.8</c:v>
                </c:pt>
                <c:pt idx="4">
                  <c:v>9636</c:v>
                </c:pt>
              </c:numCache>
            </c:numRef>
          </c:val>
        </c:ser>
        <c:ser>
          <c:idx val="1"/>
          <c:order val="1"/>
          <c:tx>
            <c:strRef>
              <c:f>'Živa 400W'!$C$10</c:f>
              <c:strCache>
                <c:ptCount val="1"/>
                <c:pt idx="0">
                  <c:v>Natrijum VP 250W FMB</c:v>
                </c:pt>
              </c:strCache>
            </c:strRef>
          </c:tx>
          <c:invertIfNegative val="0"/>
          <c:val>
            <c:numRef>
              <c:f>'Živa 400W'!$G$10:$K$10</c:f>
              <c:numCache>
                <c:formatCode>0</c:formatCode>
                <c:ptCount val="5"/>
                <c:pt idx="0">
                  <c:v>1204.5</c:v>
                </c:pt>
                <c:pt idx="1">
                  <c:v>2409</c:v>
                </c:pt>
                <c:pt idx="2">
                  <c:v>3613.5</c:v>
                </c:pt>
                <c:pt idx="3">
                  <c:v>4818</c:v>
                </c:pt>
                <c:pt idx="4">
                  <c:v>6022.5</c:v>
                </c:pt>
              </c:numCache>
            </c:numRef>
          </c:val>
        </c:ser>
        <c:ser>
          <c:idx val="2"/>
          <c:order val="2"/>
          <c:tx>
            <c:strRef>
              <c:f>'Živa 400W'!$C$16</c:f>
              <c:strCache>
                <c:ptCount val="1"/>
                <c:pt idx="0">
                  <c:v>Natrijum VP 250W ELB</c:v>
                </c:pt>
              </c:strCache>
            </c:strRef>
          </c:tx>
          <c:invertIfNegative val="0"/>
          <c:val>
            <c:numRef>
              <c:f>'Živa 400W'!$G$16:$K$16</c:f>
              <c:numCache>
                <c:formatCode>0</c:formatCode>
                <c:ptCount val="5"/>
                <c:pt idx="0">
                  <c:v>1095</c:v>
                </c:pt>
                <c:pt idx="1">
                  <c:v>2190</c:v>
                </c:pt>
                <c:pt idx="2">
                  <c:v>3285</c:v>
                </c:pt>
                <c:pt idx="3">
                  <c:v>4380</c:v>
                </c:pt>
                <c:pt idx="4">
                  <c:v>5475</c:v>
                </c:pt>
              </c:numCache>
            </c:numRef>
          </c:val>
        </c:ser>
        <c:ser>
          <c:idx val="3"/>
          <c:order val="3"/>
          <c:tx>
            <c:strRef>
              <c:f>'Živa 400W'!$C$22</c:f>
              <c:strCache>
                <c:ptCount val="1"/>
                <c:pt idx="0">
                  <c:v>LED  100W</c:v>
                </c:pt>
              </c:strCache>
            </c:strRef>
          </c:tx>
          <c:invertIfNegative val="0"/>
          <c:val>
            <c:numRef>
              <c:f>'Živa 400W'!$G$22:$K$22</c:f>
              <c:numCache>
                <c:formatCode>0</c:formatCode>
                <c:ptCount val="5"/>
                <c:pt idx="0">
                  <c:v>438</c:v>
                </c:pt>
                <c:pt idx="1">
                  <c:v>876</c:v>
                </c:pt>
                <c:pt idx="2">
                  <c:v>1314</c:v>
                </c:pt>
                <c:pt idx="3">
                  <c:v>1752</c:v>
                </c:pt>
                <c:pt idx="4">
                  <c:v>2190</c:v>
                </c:pt>
              </c:numCache>
            </c:numRef>
          </c:val>
        </c:ser>
        <c:ser>
          <c:idx val="4"/>
          <c:order val="4"/>
          <c:tx>
            <c:strRef>
              <c:f>'Živa 400W'!$C$28</c:f>
              <c:strCache>
                <c:ptCount val="1"/>
                <c:pt idx="0">
                  <c:v>MH 250W</c:v>
                </c:pt>
              </c:strCache>
            </c:strRef>
          </c:tx>
          <c:invertIfNegative val="0"/>
          <c:val>
            <c:numRef>
              <c:f>'Živa 400W'!$G$28:$K$28</c:f>
              <c:numCache>
                <c:formatCode>0</c:formatCode>
                <c:ptCount val="5"/>
                <c:pt idx="0">
                  <c:v>1204.5</c:v>
                </c:pt>
                <c:pt idx="1">
                  <c:v>2409</c:v>
                </c:pt>
                <c:pt idx="2">
                  <c:v>3613.5</c:v>
                </c:pt>
                <c:pt idx="3">
                  <c:v>4818</c:v>
                </c:pt>
                <c:pt idx="4">
                  <c:v>6022.5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-1728200352"/>
        <c:axId val="-1728201440"/>
      </c:barChart>
      <c:catAx>
        <c:axId val="-17282003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sr-Latn-RS"/>
                  <a:t>Godine eksploatacije</a:t>
                </a:r>
                <a:endParaRPr lang="en-US"/>
              </a:p>
            </c:rich>
          </c:tx>
          <c:overlay val="0"/>
        </c:title>
        <c:majorTickMark val="none"/>
        <c:minorTickMark val="none"/>
        <c:tickLblPos val="nextTo"/>
        <c:crossAx val="-1728201440"/>
        <c:crosses val="autoZero"/>
        <c:auto val="1"/>
        <c:lblAlgn val="ctr"/>
        <c:lblOffset val="100"/>
        <c:noMultiLvlLbl val="0"/>
      </c:catAx>
      <c:valAx>
        <c:axId val="-1728201440"/>
        <c:scaling>
          <c:orientation val="minMax"/>
        </c:scaling>
        <c:delete val="0"/>
        <c:axPos val="l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sr-Latn-RS"/>
                  <a:t>kWh</a:t>
                </a:r>
                <a:endParaRPr lang="en-US"/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crossAx val="-172820035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0">
                <a:latin typeface="Gill Sans MT" panose="020B0502020104020203" pitchFamily="34" charset="-18"/>
              </a:defRPr>
            </a:pPr>
            <a:r>
              <a:rPr lang="en-US" sz="1600" b="0">
                <a:latin typeface="Gill Sans MT" panose="020B0502020104020203" pitchFamily="34" charset="-18"/>
              </a:rPr>
              <a:t>Period povrata investicije</a:t>
            </a:r>
          </a:p>
        </c:rich>
      </c:tx>
      <c:layout>
        <c:manualLayout>
          <c:xMode val="edge"/>
          <c:yMode val="edge"/>
          <c:x val="0.29398181740305057"/>
          <c:y val="5.0632911392405063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'Živa 400W'!$O$34</c:f>
              <c:strCache>
                <c:ptCount val="1"/>
                <c:pt idx="0">
                  <c:v>Godišnji trošak Živa 400W</c:v>
                </c:pt>
              </c:strCache>
            </c:strRef>
          </c:tx>
          <c:spPr>
            <a:ln>
              <a:solidFill>
                <a:schemeClr val="accent6"/>
              </a:solidFill>
            </a:ln>
          </c:spPr>
          <c:marker>
            <c:symbol val="square"/>
            <c:size val="7"/>
            <c:spPr>
              <a:solidFill>
                <a:schemeClr val="accent6"/>
              </a:solidFill>
              <a:ln>
                <a:solidFill>
                  <a:schemeClr val="accent6"/>
                </a:solidFill>
              </a:ln>
            </c:spPr>
          </c:marker>
          <c:val>
            <c:numRef>
              <c:f>'Živa 400W'!$S$19:$W$19</c:f>
              <c:numCache>
                <c:formatCode>0</c:formatCode>
                <c:ptCount val="5"/>
                <c:pt idx="0">
                  <c:v>96.360000000000014</c:v>
                </c:pt>
                <c:pt idx="1">
                  <c:v>222.72000000000003</c:v>
                </c:pt>
                <c:pt idx="2">
                  <c:v>349.08000000000004</c:v>
                </c:pt>
                <c:pt idx="3">
                  <c:v>475.44000000000005</c:v>
                </c:pt>
                <c:pt idx="4">
                  <c:v>601.79999999999995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'Živa 400W'!$O$35</c:f>
              <c:strCache>
                <c:ptCount val="1"/>
                <c:pt idx="0">
                  <c:v>Godišnji trošak+investicijaNVP 250W Tip:SON-T 250W</c:v>
                </c:pt>
              </c:strCache>
            </c:strRef>
          </c:tx>
          <c:spPr>
            <a:ln>
              <a:solidFill>
                <a:schemeClr val="accent3"/>
              </a:solidFill>
            </a:ln>
          </c:spPr>
          <c:val>
            <c:numRef>
              <c:f>'Živa 400W'!$S$25:$W$25</c:f>
              <c:numCache>
                <c:formatCode>0</c:formatCode>
                <c:ptCount val="5"/>
                <c:pt idx="0">
                  <c:v>290.22500000000002</c:v>
                </c:pt>
                <c:pt idx="1">
                  <c:v>350.45</c:v>
                </c:pt>
                <c:pt idx="2">
                  <c:v>410.67500000000001</c:v>
                </c:pt>
                <c:pt idx="3">
                  <c:v>470.9</c:v>
                </c:pt>
                <c:pt idx="4">
                  <c:v>531.125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728192192"/>
        <c:axId val="-1728198176"/>
      </c:lineChart>
      <c:catAx>
        <c:axId val="-1728192192"/>
        <c:scaling>
          <c:orientation val="minMax"/>
        </c:scaling>
        <c:delete val="0"/>
        <c:axPos val="b"/>
        <c:majorGridlines/>
        <c:minorGridlines/>
        <c:majorTickMark val="none"/>
        <c:minorTickMark val="none"/>
        <c:tickLblPos val="nextTo"/>
        <c:crossAx val="-1728198176"/>
        <c:crosses val="autoZero"/>
        <c:auto val="1"/>
        <c:lblAlgn val="ctr"/>
        <c:lblOffset val="100"/>
        <c:noMultiLvlLbl val="0"/>
      </c:catAx>
      <c:valAx>
        <c:axId val="-172819817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b="0"/>
                </a:pPr>
                <a:r>
                  <a:rPr lang="bs-Latn-BA" b="0"/>
                  <a:t>EUR</a:t>
                </a:r>
                <a:endParaRPr lang="en-US" b="0"/>
              </a:p>
            </c:rich>
          </c:tx>
          <c:overlay val="0"/>
        </c:title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sz="1000"/>
            </a:pPr>
            <a:endParaRPr lang="en-US"/>
          </a:p>
        </c:txPr>
        <c:crossAx val="-1728192192"/>
        <c:crosses val="autoZero"/>
        <c:crossBetween val="midCat"/>
      </c:valAx>
      <c:spPr>
        <a:ln>
          <a:gradFill>
            <a:gsLst>
              <a:gs pos="0">
                <a:schemeClr val="accent1">
                  <a:tint val="66000"/>
                  <a:satMod val="160000"/>
                </a:schemeClr>
              </a:gs>
              <a:gs pos="50000">
                <a:schemeClr val="accent1">
                  <a:tint val="44500"/>
                  <a:satMod val="160000"/>
                </a:schemeClr>
              </a:gs>
              <a:gs pos="100000">
                <a:schemeClr val="accent1">
                  <a:tint val="23500"/>
                  <a:satMod val="160000"/>
                </a:schemeClr>
              </a:gs>
            </a:gsLst>
            <a:lin ang="5400000" scaled="0"/>
          </a:gradFill>
        </a:ln>
      </c:spPr>
    </c:plotArea>
    <c:legend>
      <c:legendPos val="r"/>
      <c:overlay val="0"/>
      <c:txPr>
        <a:bodyPr/>
        <a:lstStyle/>
        <a:p>
          <a:pPr>
            <a:defRPr sz="1000"/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LED!$B$33</c:f>
              <c:strCache>
                <c:ptCount val="1"/>
                <c:pt idx="0">
                  <c:v>Godišnji trošak Živa 125W</c:v>
                </c:pt>
              </c:strCache>
            </c:strRef>
          </c:tx>
          <c:spPr>
            <a:ln>
              <a:solidFill>
                <a:schemeClr val="accent6"/>
              </a:solidFill>
            </a:ln>
          </c:spPr>
          <c:marker>
            <c:symbol val="square"/>
            <c:size val="7"/>
            <c:spPr>
              <a:solidFill>
                <a:schemeClr val="accent6"/>
              </a:solidFill>
              <a:ln>
                <a:solidFill>
                  <a:schemeClr val="accent6"/>
                </a:solidFill>
              </a:ln>
            </c:spPr>
          </c:marker>
          <c:cat>
            <c:numRef>
              <c:f>LED!$F$15:$M$15</c:f>
              <c:numCache>
                <c:formatCode>General</c:formatCode>
                <c:ptCount val="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</c:numCache>
            </c:numRef>
          </c:cat>
          <c:val>
            <c:numRef>
              <c:f>LED!$F$19:$M$19</c:f>
              <c:numCache>
                <c:formatCode>0</c:formatCode>
                <c:ptCount val="8"/>
                <c:pt idx="0">
                  <c:v>317.55</c:v>
                </c:pt>
                <c:pt idx="1">
                  <c:v>875.1</c:v>
                </c:pt>
                <c:pt idx="2">
                  <c:v>1432.65</c:v>
                </c:pt>
                <c:pt idx="3">
                  <c:v>1990.2</c:v>
                </c:pt>
                <c:pt idx="4">
                  <c:v>2547.75</c:v>
                </c:pt>
                <c:pt idx="5">
                  <c:v>2865.3</c:v>
                </c:pt>
                <c:pt idx="6">
                  <c:v>3422.85</c:v>
                </c:pt>
                <c:pt idx="7">
                  <c:v>3980.4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LED!$B$34</c:f>
              <c:strCache>
                <c:ptCount val="1"/>
                <c:pt idx="0">
                  <c:v>Godišnji trošak+investicija LED73/740DM</c:v>
                </c:pt>
              </c:strCache>
            </c:strRef>
          </c:tx>
          <c:spPr>
            <a:ln>
              <a:solidFill>
                <a:srgbClr val="339933"/>
              </a:solidFill>
            </a:ln>
          </c:spPr>
          <c:marker>
            <c:spPr>
              <a:solidFill>
                <a:srgbClr val="339933"/>
              </a:solidFill>
            </c:spPr>
          </c:marker>
          <c:cat>
            <c:numRef>
              <c:f>LED!$F$15:$M$15</c:f>
              <c:numCache>
                <c:formatCode>General</c:formatCode>
                <c:ptCount val="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</c:numCache>
            </c:numRef>
          </c:cat>
          <c:val>
            <c:numRef>
              <c:f>LED!$F$25:$M$25</c:f>
              <c:numCache>
                <c:formatCode>0</c:formatCode>
                <c:ptCount val="8"/>
                <c:pt idx="0">
                  <c:v>2331.77</c:v>
                </c:pt>
                <c:pt idx="1">
                  <c:v>2513.54</c:v>
                </c:pt>
                <c:pt idx="2">
                  <c:v>2695.31</c:v>
                </c:pt>
                <c:pt idx="3">
                  <c:v>2877.08</c:v>
                </c:pt>
                <c:pt idx="4">
                  <c:v>3058.85</c:v>
                </c:pt>
                <c:pt idx="5">
                  <c:v>3240.62</c:v>
                </c:pt>
                <c:pt idx="6">
                  <c:v>3422.3900000000003</c:v>
                </c:pt>
                <c:pt idx="7">
                  <c:v>3604.16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728194368"/>
        <c:axId val="-1728188384"/>
      </c:lineChart>
      <c:catAx>
        <c:axId val="-1728194368"/>
        <c:scaling>
          <c:orientation val="minMax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 b="0"/>
                </a:pPr>
                <a:r>
                  <a:rPr lang="bs-Latn-BA" b="0"/>
                  <a:t>Godina</a:t>
                </a:r>
                <a:endParaRPr lang="en-US" b="0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-1728188384"/>
        <c:crosses val="autoZero"/>
        <c:auto val="1"/>
        <c:lblAlgn val="ctr"/>
        <c:lblOffset val="100"/>
        <c:noMultiLvlLbl val="0"/>
      </c:catAx>
      <c:valAx>
        <c:axId val="-172818838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b="0"/>
                </a:pPr>
                <a:r>
                  <a:rPr lang="bs-Latn-BA" b="0"/>
                  <a:t>EUR</a:t>
                </a:r>
                <a:endParaRPr lang="en-US" b="0"/>
              </a:p>
            </c:rich>
          </c:tx>
          <c:layout>
            <c:manualLayout>
              <c:xMode val="edge"/>
              <c:yMode val="edge"/>
              <c:x val="8.1002595272127269E-3"/>
              <c:y val="0.38952315186881198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1000"/>
            </a:pPr>
            <a:endParaRPr lang="en-US"/>
          </a:p>
        </c:txPr>
        <c:crossAx val="-1728194368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1000"/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601806</xdr:colOff>
      <xdr:row>38</xdr:row>
      <xdr:rowOff>12123</xdr:rowOff>
    </xdr:from>
    <xdr:to>
      <xdr:col>12</xdr:col>
      <xdr:colOff>5195</xdr:colOff>
      <xdr:row>52</xdr:row>
      <xdr:rowOff>14720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88106</xdr:colOff>
      <xdr:row>37</xdr:row>
      <xdr:rowOff>154781</xdr:rowOff>
    </xdr:from>
    <xdr:to>
      <xdr:col>23</xdr:col>
      <xdr:colOff>263365</xdr:colOff>
      <xdr:row>51</xdr:row>
      <xdr:rowOff>140494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601806</xdr:colOff>
      <xdr:row>38</xdr:row>
      <xdr:rowOff>12123</xdr:rowOff>
    </xdr:from>
    <xdr:to>
      <xdr:col>12</xdr:col>
      <xdr:colOff>5195</xdr:colOff>
      <xdr:row>52</xdr:row>
      <xdr:rowOff>14720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361950</xdr:colOff>
      <xdr:row>38</xdr:row>
      <xdr:rowOff>0</xdr:rowOff>
    </xdr:from>
    <xdr:to>
      <xdr:col>23</xdr:col>
      <xdr:colOff>84772</xdr:colOff>
      <xdr:row>51</xdr:row>
      <xdr:rowOff>152400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601806</xdr:colOff>
      <xdr:row>38</xdr:row>
      <xdr:rowOff>12123</xdr:rowOff>
    </xdr:from>
    <xdr:to>
      <xdr:col>12</xdr:col>
      <xdr:colOff>5195</xdr:colOff>
      <xdr:row>52</xdr:row>
      <xdr:rowOff>14720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361950</xdr:colOff>
      <xdr:row>38</xdr:row>
      <xdr:rowOff>0</xdr:rowOff>
    </xdr:from>
    <xdr:to>
      <xdr:col>23</xdr:col>
      <xdr:colOff>84772</xdr:colOff>
      <xdr:row>51</xdr:row>
      <xdr:rowOff>152400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601806</xdr:colOff>
      <xdr:row>38</xdr:row>
      <xdr:rowOff>12123</xdr:rowOff>
    </xdr:from>
    <xdr:to>
      <xdr:col>12</xdr:col>
      <xdr:colOff>5195</xdr:colOff>
      <xdr:row>52</xdr:row>
      <xdr:rowOff>14720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361950</xdr:colOff>
      <xdr:row>38</xdr:row>
      <xdr:rowOff>0</xdr:rowOff>
    </xdr:from>
    <xdr:to>
      <xdr:col>23</xdr:col>
      <xdr:colOff>84772</xdr:colOff>
      <xdr:row>51</xdr:row>
      <xdr:rowOff>152400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23284</xdr:colOff>
      <xdr:row>42</xdr:row>
      <xdr:rowOff>87842</xdr:rowOff>
    </xdr:from>
    <xdr:to>
      <xdr:col>12</xdr:col>
      <xdr:colOff>277284</xdr:colOff>
      <xdr:row>54</xdr:row>
      <xdr:rowOff>103263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4234</xdr:colOff>
      <xdr:row>42</xdr:row>
      <xdr:rowOff>93133</xdr:rowOff>
    </xdr:from>
    <xdr:to>
      <xdr:col>27</xdr:col>
      <xdr:colOff>258234</xdr:colOff>
      <xdr:row>54</xdr:row>
      <xdr:rowOff>108554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67"/>
  <sheetViews>
    <sheetView topLeftCell="A52" zoomScaleNormal="100" workbookViewId="0">
      <selection activeCell="E2" sqref="E2"/>
    </sheetView>
  </sheetViews>
  <sheetFormatPr defaultRowHeight="15"/>
  <cols>
    <col min="1" max="1" width="4.42578125" customWidth="1"/>
    <col min="2" max="2" width="16.42578125" customWidth="1"/>
    <col min="3" max="5" width="7.28515625" customWidth="1"/>
    <col min="6" max="6" width="7.7109375" customWidth="1"/>
    <col min="7" max="16" width="6.7109375" customWidth="1"/>
    <col min="17" max="17" width="7.7109375" customWidth="1"/>
    <col min="18" max="33" width="6.7109375" customWidth="1"/>
  </cols>
  <sheetData>
    <row r="1" spans="1:33" ht="15.75" thickBot="1">
      <c r="A1" s="83" t="s">
        <v>70</v>
      </c>
      <c r="B1" s="84"/>
      <c r="C1" s="139"/>
      <c r="D1" s="139"/>
      <c r="E1" s="139"/>
      <c r="F1" s="11"/>
      <c r="G1" s="139"/>
      <c r="H1" s="139"/>
      <c r="I1" s="139"/>
      <c r="J1" s="139"/>
      <c r="K1" s="139"/>
      <c r="L1" s="139"/>
      <c r="M1" s="139"/>
      <c r="N1" s="139"/>
      <c r="O1" s="139"/>
      <c r="P1" s="139"/>
      <c r="X1" s="139"/>
      <c r="Y1" s="139"/>
      <c r="Z1" s="139"/>
      <c r="AA1" s="139"/>
      <c r="AB1" s="139"/>
      <c r="AC1" s="139"/>
    </row>
    <row r="2" spans="1:33">
      <c r="A2" s="88" t="s">
        <v>71</v>
      </c>
      <c r="B2" s="88" t="s">
        <v>75</v>
      </c>
      <c r="C2" s="139"/>
      <c r="D2" s="164"/>
      <c r="E2" s="139" t="s">
        <v>120</v>
      </c>
      <c r="F2" s="139"/>
      <c r="G2" s="139"/>
      <c r="H2" s="139"/>
      <c r="L2" s="139"/>
      <c r="M2" s="139"/>
      <c r="N2" s="139"/>
      <c r="O2" s="139"/>
      <c r="P2" s="139"/>
      <c r="X2" s="139"/>
      <c r="Y2" s="139"/>
      <c r="Z2" s="139"/>
      <c r="AA2" s="139"/>
      <c r="AB2" s="139"/>
      <c r="AC2" s="139"/>
    </row>
    <row r="3" spans="1:33">
      <c r="A3" s="88" t="s">
        <v>72</v>
      </c>
      <c r="B3" s="88" t="s">
        <v>76</v>
      </c>
      <c r="C3" s="139"/>
      <c r="D3" s="174"/>
      <c r="E3" s="139" t="s">
        <v>120</v>
      </c>
      <c r="F3" s="139"/>
      <c r="G3" s="139"/>
      <c r="H3" s="139"/>
      <c r="L3" s="139"/>
      <c r="M3" s="139"/>
      <c r="N3" s="139"/>
      <c r="O3" s="139"/>
      <c r="P3" s="139"/>
      <c r="X3" s="139"/>
      <c r="Y3" s="139"/>
      <c r="Z3" s="139"/>
      <c r="AA3" s="139"/>
      <c r="AB3" s="139"/>
      <c r="AC3" s="139"/>
    </row>
    <row r="4" spans="1:33">
      <c r="A4" s="88" t="s">
        <v>73</v>
      </c>
      <c r="B4" s="88" t="s">
        <v>77</v>
      </c>
      <c r="C4" s="139"/>
      <c r="D4" s="139"/>
      <c r="E4" s="139"/>
      <c r="F4" s="11"/>
      <c r="G4" s="139"/>
      <c r="H4" s="139"/>
      <c r="I4" s="139"/>
      <c r="J4" s="139"/>
      <c r="K4" s="139"/>
      <c r="L4" s="139"/>
      <c r="M4" s="139"/>
      <c r="N4" s="139"/>
      <c r="O4" s="139"/>
      <c r="P4" s="139"/>
      <c r="X4" s="139"/>
      <c r="Y4" s="139"/>
      <c r="Z4" s="139"/>
      <c r="AA4" s="139"/>
      <c r="AB4" s="139"/>
      <c r="AC4" s="139"/>
    </row>
    <row r="5" spans="1:33">
      <c r="A5" s="88" t="s">
        <v>74</v>
      </c>
      <c r="B5" s="88" t="s">
        <v>78</v>
      </c>
      <c r="C5" s="139"/>
      <c r="D5" s="139"/>
      <c r="E5" s="139"/>
      <c r="F5" s="11"/>
      <c r="G5" s="139"/>
      <c r="H5" s="139"/>
      <c r="I5" s="139"/>
      <c r="J5" s="139"/>
      <c r="K5" s="139"/>
      <c r="L5" s="139"/>
      <c r="M5" s="139"/>
      <c r="N5" s="139"/>
      <c r="O5" s="139"/>
      <c r="P5" s="139"/>
      <c r="X5" s="139"/>
      <c r="Y5" s="139"/>
      <c r="Z5" s="139"/>
      <c r="AA5" s="139"/>
      <c r="AB5" s="139"/>
      <c r="AC5" s="139"/>
    </row>
    <row r="6" spans="1:33">
      <c r="A6" s="86"/>
      <c r="B6" s="85"/>
      <c r="C6" s="139"/>
      <c r="D6" s="139"/>
      <c r="E6" s="139"/>
      <c r="F6" s="11"/>
      <c r="G6" s="139"/>
      <c r="H6" s="139"/>
      <c r="I6" s="139"/>
      <c r="J6" s="139"/>
      <c r="K6" s="139"/>
      <c r="L6" s="139"/>
      <c r="M6" s="139"/>
      <c r="N6" s="139"/>
      <c r="O6" s="139"/>
      <c r="P6" s="139"/>
      <c r="X6" s="139"/>
      <c r="Y6" s="139"/>
      <c r="Z6" s="139"/>
      <c r="AA6" s="139"/>
      <c r="AB6" s="139"/>
      <c r="AC6" s="139"/>
    </row>
    <row r="7" spans="1:33">
      <c r="A7" s="139"/>
      <c r="B7" s="85"/>
      <c r="C7" s="139"/>
      <c r="D7" s="139"/>
      <c r="E7" s="139"/>
      <c r="F7" s="11"/>
      <c r="G7" s="139"/>
      <c r="H7" s="139"/>
      <c r="I7" s="139"/>
      <c r="J7" s="139"/>
      <c r="K7" s="139"/>
      <c r="L7" s="139"/>
      <c r="M7" s="139"/>
      <c r="N7" s="139"/>
      <c r="O7" s="139"/>
      <c r="P7" s="139"/>
      <c r="X7" s="139"/>
      <c r="Y7" s="139"/>
      <c r="Z7" s="139"/>
      <c r="AA7" s="139"/>
      <c r="AB7" s="139"/>
      <c r="AC7" s="139"/>
    </row>
    <row r="8" spans="1:33">
      <c r="A8" s="88" t="s">
        <v>81</v>
      </c>
      <c r="B8" s="139"/>
      <c r="C8" s="149"/>
      <c r="D8" s="148"/>
      <c r="E8" s="148"/>
      <c r="F8" s="148"/>
      <c r="G8" s="148"/>
      <c r="H8" s="148"/>
      <c r="I8" s="191"/>
      <c r="J8" s="191"/>
      <c r="K8" s="191"/>
      <c r="L8" s="140" t="s">
        <v>84</v>
      </c>
      <c r="M8" s="248"/>
      <c r="N8" s="248"/>
      <c r="O8" s="191"/>
      <c r="P8" s="191"/>
      <c r="X8" s="139"/>
      <c r="Y8" s="139"/>
      <c r="Z8" s="139"/>
      <c r="AA8" s="139"/>
      <c r="AB8" s="139"/>
      <c r="AC8" s="139"/>
    </row>
    <row r="9" spans="1:33">
      <c r="A9" s="88" t="s">
        <v>82</v>
      </c>
      <c r="B9" s="139"/>
      <c r="C9" s="151"/>
      <c r="D9" s="151"/>
      <c r="E9" s="151"/>
      <c r="F9" s="151"/>
      <c r="G9" s="151"/>
      <c r="H9" s="151"/>
      <c r="I9" s="192"/>
      <c r="J9" s="192"/>
      <c r="K9" s="192"/>
      <c r="L9" s="192"/>
      <c r="M9" s="192"/>
      <c r="N9" s="192"/>
      <c r="O9" s="192"/>
      <c r="P9" s="192"/>
      <c r="X9" s="139"/>
      <c r="Y9" s="139"/>
      <c r="Z9" s="139"/>
      <c r="AA9" s="139"/>
      <c r="AB9" s="139"/>
      <c r="AC9" s="139"/>
    </row>
    <row r="10" spans="1:33" s="142" customFormat="1" ht="11.25"/>
    <row r="11" spans="1:33" s="142" customFormat="1" ht="11.25">
      <c r="F11" s="142" t="s">
        <v>95</v>
      </c>
      <c r="I11" s="166">
        <v>0.05</v>
      </c>
      <c r="J11" s="142" t="s">
        <v>112</v>
      </c>
    </row>
    <row r="12" spans="1:33" s="142" customFormat="1" ht="12" thickBot="1"/>
    <row r="13" spans="1:33">
      <c r="A13" s="249" t="s">
        <v>85</v>
      </c>
      <c r="B13" s="250"/>
      <c r="C13" s="250"/>
      <c r="D13" s="250"/>
      <c r="E13" s="250"/>
      <c r="F13" s="249" t="s">
        <v>83</v>
      </c>
      <c r="G13" s="250"/>
      <c r="H13" s="250"/>
      <c r="I13" s="250"/>
      <c r="J13" s="250"/>
      <c r="K13" s="250"/>
      <c r="L13" s="250"/>
      <c r="M13" s="250"/>
      <c r="N13" s="250"/>
      <c r="O13" s="250"/>
      <c r="P13" s="256"/>
      <c r="Q13" s="254" t="s">
        <v>93</v>
      </c>
      <c r="R13" s="255"/>
      <c r="S13" s="255"/>
      <c r="T13" s="255"/>
      <c r="U13" s="255"/>
      <c r="V13" s="255"/>
      <c r="W13" s="255"/>
      <c r="X13" s="255"/>
      <c r="Y13" s="255"/>
      <c r="Z13" s="255"/>
      <c r="AA13" s="255"/>
      <c r="AB13" s="255"/>
      <c r="AC13" s="255"/>
      <c r="AD13" s="245" t="s">
        <v>98</v>
      </c>
      <c r="AE13" s="246"/>
      <c r="AF13" s="246"/>
      <c r="AG13" s="247"/>
    </row>
    <row r="14" spans="1:33" s="141" customFormat="1" ht="45">
      <c r="A14" s="153" t="s">
        <v>92</v>
      </c>
      <c r="B14" s="154" t="s">
        <v>85</v>
      </c>
      <c r="C14" s="154" t="s">
        <v>86</v>
      </c>
      <c r="D14" s="154" t="s">
        <v>87</v>
      </c>
      <c r="E14" s="155" t="s">
        <v>94</v>
      </c>
      <c r="F14" s="153" t="s">
        <v>0</v>
      </c>
      <c r="G14" s="154" t="s">
        <v>99</v>
      </c>
      <c r="H14" s="154" t="s">
        <v>88</v>
      </c>
      <c r="I14" s="154" t="s">
        <v>91</v>
      </c>
      <c r="J14" s="154" t="s">
        <v>109</v>
      </c>
      <c r="K14" s="154" t="s">
        <v>111</v>
      </c>
      <c r="L14" s="154" t="s">
        <v>104</v>
      </c>
      <c r="M14" s="154" t="s">
        <v>107</v>
      </c>
      <c r="N14" s="154" t="s">
        <v>108</v>
      </c>
      <c r="O14" s="155" t="s">
        <v>114</v>
      </c>
      <c r="P14" s="176" t="s">
        <v>113</v>
      </c>
      <c r="Q14" s="182" t="s">
        <v>0</v>
      </c>
      <c r="R14" s="167" t="s">
        <v>99</v>
      </c>
      <c r="S14" s="167" t="s">
        <v>88</v>
      </c>
      <c r="T14" s="167" t="s">
        <v>91</v>
      </c>
      <c r="U14" s="167" t="s">
        <v>109</v>
      </c>
      <c r="V14" s="167" t="s">
        <v>111</v>
      </c>
      <c r="W14" s="167" t="s">
        <v>104</v>
      </c>
      <c r="X14" s="168" t="s">
        <v>107</v>
      </c>
      <c r="Y14" s="168" t="s">
        <v>108</v>
      </c>
      <c r="Z14" s="178" t="s">
        <v>114</v>
      </c>
      <c r="AA14" s="212" t="s">
        <v>113</v>
      </c>
      <c r="AB14" s="178" t="s">
        <v>117</v>
      </c>
      <c r="AC14" s="178" t="s">
        <v>118</v>
      </c>
      <c r="AD14" s="189" t="s">
        <v>97</v>
      </c>
      <c r="AE14" s="187" t="s">
        <v>100</v>
      </c>
      <c r="AF14" s="206" t="s">
        <v>101</v>
      </c>
      <c r="AG14" s="209" t="s">
        <v>115</v>
      </c>
    </row>
    <row r="15" spans="1:33" s="143" customFormat="1" ht="11.25">
      <c r="A15" s="156"/>
      <c r="B15" s="157"/>
      <c r="C15" s="158" t="s">
        <v>90</v>
      </c>
      <c r="D15" s="158" t="s">
        <v>90</v>
      </c>
      <c r="E15" s="159" t="s">
        <v>90</v>
      </c>
      <c r="F15" s="160"/>
      <c r="G15" s="158" t="s">
        <v>89</v>
      </c>
      <c r="H15" s="158"/>
      <c r="I15" s="158" t="s">
        <v>89</v>
      </c>
      <c r="J15" s="158" t="s">
        <v>110</v>
      </c>
      <c r="K15" s="158" t="s">
        <v>102</v>
      </c>
      <c r="L15" s="158" t="s">
        <v>105</v>
      </c>
      <c r="M15" s="158" t="s">
        <v>106</v>
      </c>
      <c r="N15" s="158" t="s">
        <v>102</v>
      </c>
      <c r="O15" s="159" t="s">
        <v>102</v>
      </c>
      <c r="P15" s="177" t="s">
        <v>102</v>
      </c>
      <c r="Q15" s="183"/>
      <c r="R15" s="169" t="s">
        <v>89</v>
      </c>
      <c r="S15" s="169"/>
      <c r="T15" s="169" t="s">
        <v>89</v>
      </c>
      <c r="U15" s="169" t="s">
        <v>110</v>
      </c>
      <c r="V15" s="169" t="s">
        <v>102</v>
      </c>
      <c r="W15" s="169" t="s">
        <v>105</v>
      </c>
      <c r="X15" s="170" t="s">
        <v>106</v>
      </c>
      <c r="Y15" s="171" t="s">
        <v>102</v>
      </c>
      <c r="Z15" s="179" t="s">
        <v>102</v>
      </c>
      <c r="AA15" s="213" t="s">
        <v>102</v>
      </c>
      <c r="AB15" s="179" t="s">
        <v>102</v>
      </c>
      <c r="AC15" s="186" t="s">
        <v>102</v>
      </c>
      <c r="AD15" s="190" t="s">
        <v>102</v>
      </c>
      <c r="AE15" s="188" t="s">
        <v>102</v>
      </c>
      <c r="AF15" s="207" t="s">
        <v>102</v>
      </c>
      <c r="AG15" s="210" t="s">
        <v>116</v>
      </c>
    </row>
    <row r="16" spans="1:33" s="194" customFormat="1" ht="33.75">
      <c r="A16" s="193">
        <v>1</v>
      </c>
      <c r="B16" s="164"/>
      <c r="C16" s="237"/>
      <c r="D16" s="237"/>
      <c r="E16" s="238"/>
      <c r="F16" s="162" t="s">
        <v>119</v>
      </c>
      <c r="G16" s="195">
        <v>145</v>
      </c>
      <c r="H16" s="195">
        <v>10</v>
      </c>
      <c r="I16" s="196">
        <f>G16*H16</f>
        <v>1450</v>
      </c>
      <c r="J16" s="199">
        <f>I16*4380/1000</f>
        <v>6351</v>
      </c>
      <c r="K16" s="196">
        <f>J16*$I$11</f>
        <v>317.55</v>
      </c>
      <c r="L16" s="195">
        <v>6000</v>
      </c>
      <c r="M16" s="205">
        <f>1/(L16/12/365)</f>
        <v>0.73000000000000009</v>
      </c>
      <c r="N16" s="195">
        <v>25</v>
      </c>
      <c r="O16" s="196">
        <f>H16*M16*N16</f>
        <v>182.50000000000003</v>
      </c>
      <c r="P16" s="197">
        <f>K16+O16</f>
        <v>500.05000000000007</v>
      </c>
      <c r="Q16" s="184" t="s">
        <v>27</v>
      </c>
      <c r="R16" s="198">
        <v>83</v>
      </c>
      <c r="S16" s="198">
        <v>10</v>
      </c>
      <c r="T16" s="199">
        <f>R16*S16</f>
        <v>830</v>
      </c>
      <c r="U16" s="199">
        <f>T16*4380/1000</f>
        <v>3635.4</v>
      </c>
      <c r="V16" s="199">
        <f>U16*$I$11</f>
        <v>181.77</v>
      </c>
      <c r="W16" s="198">
        <v>28000</v>
      </c>
      <c r="X16" s="205">
        <f>1/(W16/12/365)</f>
        <v>0.15642857142857142</v>
      </c>
      <c r="Y16" s="200">
        <v>32</v>
      </c>
      <c r="Z16" s="201">
        <f>S16*X16*Y16</f>
        <v>50.05714285714285</v>
      </c>
      <c r="AA16" s="214">
        <f>V16+Z16</f>
        <v>231.82714285714286</v>
      </c>
      <c r="AB16" s="202">
        <v>89</v>
      </c>
      <c r="AC16" s="203">
        <f>AB16*S16</f>
        <v>890</v>
      </c>
      <c r="AD16" s="204">
        <f>K16-V16</f>
        <v>135.78</v>
      </c>
      <c r="AE16" s="196">
        <f>O16-Z16</f>
        <v>132.44285714285718</v>
      </c>
      <c r="AF16" s="208">
        <f>AD16+AE16</f>
        <v>268.22285714285715</v>
      </c>
      <c r="AG16" s="211">
        <f>AC16/AF16</f>
        <v>3.3181363045654999</v>
      </c>
    </row>
    <row r="17" spans="1:33" s="144" customFormat="1" ht="11.25">
      <c r="A17" s="150">
        <f>A16+1</f>
        <v>2</v>
      </c>
      <c r="B17" s="164"/>
      <c r="C17" s="164"/>
      <c r="D17" s="164"/>
      <c r="E17" s="239"/>
      <c r="F17" s="162"/>
      <c r="G17" s="164"/>
      <c r="H17" s="164"/>
      <c r="I17" s="196">
        <f t="shared" ref="I17:I61" si="0">G17*H17</f>
        <v>0</v>
      </c>
      <c r="J17" s="199">
        <f t="shared" ref="J17:J61" si="1">I17*4380/1000</f>
        <v>0</v>
      </c>
      <c r="K17" s="196">
        <f t="shared" ref="K17:K61" si="2">J17*$I$11</f>
        <v>0</v>
      </c>
      <c r="L17" s="164"/>
      <c r="M17" s="205" t="e">
        <f t="shared" ref="M17:M61" si="3">1/(L17/12/365)</f>
        <v>#DIV/0!</v>
      </c>
      <c r="N17" s="164"/>
      <c r="O17" s="196" t="e">
        <f t="shared" ref="O17:O61" si="4">H17*M17*N17</f>
        <v>#DIV/0!</v>
      </c>
      <c r="P17" s="197" t="e">
        <f t="shared" ref="P17:P61" si="5">K17+O17</f>
        <v>#DIV/0!</v>
      </c>
      <c r="Q17" s="184"/>
      <c r="R17" s="172"/>
      <c r="S17" s="172"/>
      <c r="T17" s="199">
        <f t="shared" ref="T17:T61" si="6">R17*S17</f>
        <v>0</v>
      </c>
      <c r="U17" s="199">
        <f t="shared" ref="U17:U61" si="7">T17*4380/1000</f>
        <v>0</v>
      </c>
      <c r="V17" s="199">
        <f t="shared" ref="V17:V61" si="8">U17*$I$11</f>
        <v>0</v>
      </c>
      <c r="W17" s="172"/>
      <c r="X17" s="205" t="e">
        <f t="shared" ref="X17:X61" si="9">1/(W17/12/365)</f>
        <v>#DIV/0!</v>
      </c>
      <c r="Y17" s="174"/>
      <c r="Z17" s="201" t="e">
        <f t="shared" ref="Z17:Z61" si="10">S17*X17*Y17</f>
        <v>#DIV/0!</v>
      </c>
      <c r="AA17" s="214" t="e">
        <f t="shared" ref="AA17:AA61" si="11">V17+Z17</f>
        <v>#DIV/0!</v>
      </c>
      <c r="AB17" s="180"/>
      <c r="AC17" s="203">
        <f t="shared" ref="AC17:AC61" si="12">AB17*S17</f>
        <v>0</v>
      </c>
      <c r="AD17" s="204">
        <f t="shared" ref="AD17:AD61" si="13">K17-V17</f>
        <v>0</v>
      </c>
      <c r="AE17" s="196" t="e">
        <f t="shared" ref="AE17:AE61" si="14">O17-Z17</f>
        <v>#DIV/0!</v>
      </c>
      <c r="AF17" s="208" t="e">
        <f t="shared" ref="AF17:AF61" si="15">AD17+AE17</f>
        <v>#DIV/0!</v>
      </c>
      <c r="AG17" s="211" t="e">
        <f t="shared" ref="AG17:AG61" si="16">AC17/AF17</f>
        <v>#DIV/0!</v>
      </c>
    </row>
    <row r="18" spans="1:33" s="144" customFormat="1" ht="11.25">
      <c r="A18" s="150">
        <f t="shared" ref="A18:A35" si="17">A17+1</f>
        <v>3</v>
      </c>
      <c r="B18" s="164"/>
      <c r="C18" s="164"/>
      <c r="D18" s="164"/>
      <c r="E18" s="239"/>
      <c r="F18" s="162"/>
      <c r="G18" s="164"/>
      <c r="H18" s="164"/>
      <c r="I18" s="196">
        <f t="shared" si="0"/>
        <v>0</v>
      </c>
      <c r="J18" s="199">
        <f t="shared" si="1"/>
        <v>0</v>
      </c>
      <c r="K18" s="196">
        <f t="shared" si="2"/>
        <v>0</v>
      </c>
      <c r="L18" s="164"/>
      <c r="M18" s="205" t="e">
        <f t="shared" si="3"/>
        <v>#DIV/0!</v>
      </c>
      <c r="N18" s="164"/>
      <c r="O18" s="196" t="e">
        <f t="shared" si="4"/>
        <v>#DIV/0!</v>
      </c>
      <c r="P18" s="197" t="e">
        <f t="shared" si="5"/>
        <v>#DIV/0!</v>
      </c>
      <c r="Q18" s="184"/>
      <c r="R18" s="172"/>
      <c r="S18" s="172"/>
      <c r="T18" s="199">
        <f t="shared" si="6"/>
        <v>0</v>
      </c>
      <c r="U18" s="199">
        <f t="shared" si="7"/>
        <v>0</v>
      </c>
      <c r="V18" s="199">
        <f t="shared" si="8"/>
        <v>0</v>
      </c>
      <c r="W18" s="172"/>
      <c r="X18" s="205" t="e">
        <f t="shared" si="9"/>
        <v>#DIV/0!</v>
      </c>
      <c r="Y18" s="174"/>
      <c r="Z18" s="201" t="e">
        <f t="shared" si="10"/>
        <v>#DIV/0!</v>
      </c>
      <c r="AA18" s="214" t="e">
        <f t="shared" si="11"/>
        <v>#DIV/0!</v>
      </c>
      <c r="AB18" s="180"/>
      <c r="AC18" s="203">
        <f t="shared" si="12"/>
        <v>0</v>
      </c>
      <c r="AD18" s="204">
        <f t="shared" si="13"/>
        <v>0</v>
      </c>
      <c r="AE18" s="196" t="e">
        <f t="shared" si="14"/>
        <v>#DIV/0!</v>
      </c>
      <c r="AF18" s="208" t="e">
        <f t="shared" si="15"/>
        <v>#DIV/0!</v>
      </c>
      <c r="AG18" s="211" t="e">
        <f t="shared" si="16"/>
        <v>#DIV/0!</v>
      </c>
    </row>
    <row r="19" spans="1:33" s="144" customFormat="1" ht="11.25">
      <c r="A19" s="150">
        <f t="shared" si="17"/>
        <v>4</v>
      </c>
      <c r="B19" s="164"/>
      <c r="C19" s="164"/>
      <c r="D19" s="164"/>
      <c r="E19" s="239"/>
      <c r="F19" s="162"/>
      <c r="G19" s="164"/>
      <c r="H19" s="164"/>
      <c r="I19" s="196">
        <f t="shared" si="0"/>
        <v>0</v>
      </c>
      <c r="J19" s="199">
        <f t="shared" si="1"/>
        <v>0</v>
      </c>
      <c r="K19" s="196">
        <f t="shared" si="2"/>
        <v>0</v>
      </c>
      <c r="L19" s="164"/>
      <c r="M19" s="205" t="e">
        <f t="shared" si="3"/>
        <v>#DIV/0!</v>
      </c>
      <c r="N19" s="164"/>
      <c r="O19" s="196" t="e">
        <f t="shared" si="4"/>
        <v>#DIV/0!</v>
      </c>
      <c r="P19" s="197" t="e">
        <f t="shared" si="5"/>
        <v>#DIV/0!</v>
      </c>
      <c r="Q19" s="184"/>
      <c r="R19" s="172"/>
      <c r="S19" s="172"/>
      <c r="T19" s="199">
        <f t="shared" si="6"/>
        <v>0</v>
      </c>
      <c r="U19" s="199">
        <f t="shared" si="7"/>
        <v>0</v>
      </c>
      <c r="V19" s="199">
        <f t="shared" si="8"/>
        <v>0</v>
      </c>
      <c r="W19" s="172"/>
      <c r="X19" s="205" t="e">
        <f t="shared" si="9"/>
        <v>#DIV/0!</v>
      </c>
      <c r="Y19" s="174"/>
      <c r="Z19" s="201" t="e">
        <f t="shared" si="10"/>
        <v>#DIV/0!</v>
      </c>
      <c r="AA19" s="214" t="e">
        <f t="shared" si="11"/>
        <v>#DIV/0!</v>
      </c>
      <c r="AB19" s="180"/>
      <c r="AC19" s="203">
        <f t="shared" si="12"/>
        <v>0</v>
      </c>
      <c r="AD19" s="204">
        <f t="shared" si="13"/>
        <v>0</v>
      </c>
      <c r="AE19" s="196" t="e">
        <f t="shared" si="14"/>
        <v>#DIV/0!</v>
      </c>
      <c r="AF19" s="208" t="e">
        <f t="shared" si="15"/>
        <v>#DIV/0!</v>
      </c>
      <c r="AG19" s="211" t="e">
        <f t="shared" si="16"/>
        <v>#DIV/0!</v>
      </c>
    </row>
    <row r="20" spans="1:33" s="144" customFormat="1" ht="11.25">
      <c r="A20" s="150">
        <f t="shared" si="17"/>
        <v>5</v>
      </c>
      <c r="B20" s="164"/>
      <c r="C20" s="164"/>
      <c r="D20" s="164"/>
      <c r="E20" s="239"/>
      <c r="F20" s="162"/>
      <c r="G20" s="164"/>
      <c r="H20" s="164"/>
      <c r="I20" s="196">
        <f t="shared" si="0"/>
        <v>0</v>
      </c>
      <c r="J20" s="199">
        <f t="shared" si="1"/>
        <v>0</v>
      </c>
      <c r="K20" s="196">
        <f t="shared" si="2"/>
        <v>0</v>
      </c>
      <c r="L20" s="164"/>
      <c r="M20" s="205" t="e">
        <f t="shared" si="3"/>
        <v>#DIV/0!</v>
      </c>
      <c r="N20" s="164"/>
      <c r="O20" s="196" t="e">
        <f t="shared" si="4"/>
        <v>#DIV/0!</v>
      </c>
      <c r="P20" s="197" t="e">
        <f t="shared" si="5"/>
        <v>#DIV/0!</v>
      </c>
      <c r="Q20" s="184"/>
      <c r="R20" s="172"/>
      <c r="S20" s="172"/>
      <c r="T20" s="199">
        <f t="shared" si="6"/>
        <v>0</v>
      </c>
      <c r="U20" s="199">
        <f t="shared" si="7"/>
        <v>0</v>
      </c>
      <c r="V20" s="199">
        <f t="shared" si="8"/>
        <v>0</v>
      </c>
      <c r="W20" s="172"/>
      <c r="X20" s="205" t="e">
        <f t="shared" si="9"/>
        <v>#DIV/0!</v>
      </c>
      <c r="Y20" s="174"/>
      <c r="Z20" s="201" t="e">
        <f t="shared" si="10"/>
        <v>#DIV/0!</v>
      </c>
      <c r="AA20" s="214" t="e">
        <f t="shared" si="11"/>
        <v>#DIV/0!</v>
      </c>
      <c r="AB20" s="180"/>
      <c r="AC20" s="203">
        <f t="shared" si="12"/>
        <v>0</v>
      </c>
      <c r="AD20" s="204">
        <f t="shared" si="13"/>
        <v>0</v>
      </c>
      <c r="AE20" s="196" t="e">
        <f t="shared" si="14"/>
        <v>#DIV/0!</v>
      </c>
      <c r="AF20" s="208" t="e">
        <f t="shared" si="15"/>
        <v>#DIV/0!</v>
      </c>
      <c r="AG20" s="211" t="e">
        <f t="shared" si="16"/>
        <v>#DIV/0!</v>
      </c>
    </row>
    <row r="21" spans="1:33" s="144" customFormat="1" ht="11.25">
      <c r="A21" s="150">
        <f t="shared" si="17"/>
        <v>6</v>
      </c>
      <c r="B21" s="164"/>
      <c r="C21" s="164"/>
      <c r="D21" s="164"/>
      <c r="E21" s="239"/>
      <c r="F21" s="162"/>
      <c r="G21" s="164"/>
      <c r="H21" s="164"/>
      <c r="I21" s="196">
        <f t="shared" si="0"/>
        <v>0</v>
      </c>
      <c r="J21" s="199">
        <f t="shared" si="1"/>
        <v>0</v>
      </c>
      <c r="K21" s="196">
        <f t="shared" si="2"/>
        <v>0</v>
      </c>
      <c r="L21" s="164"/>
      <c r="M21" s="205" t="e">
        <f t="shared" si="3"/>
        <v>#DIV/0!</v>
      </c>
      <c r="N21" s="164"/>
      <c r="O21" s="196" t="e">
        <f t="shared" si="4"/>
        <v>#DIV/0!</v>
      </c>
      <c r="P21" s="197" t="e">
        <f t="shared" si="5"/>
        <v>#DIV/0!</v>
      </c>
      <c r="Q21" s="184"/>
      <c r="R21" s="172"/>
      <c r="S21" s="172"/>
      <c r="T21" s="199">
        <f t="shared" si="6"/>
        <v>0</v>
      </c>
      <c r="U21" s="199">
        <f t="shared" si="7"/>
        <v>0</v>
      </c>
      <c r="V21" s="199">
        <f t="shared" si="8"/>
        <v>0</v>
      </c>
      <c r="W21" s="172"/>
      <c r="X21" s="205" t="e">
        <f t="shared" si="9"/>
        <v>#DIV/0!</v>
      </c>
      <c r="Y21" s="174"/>
      <c r="Z21" s="201" t="e">
        <f t="shared" si="10"/>
        <v>#DIV/0!</v>
      </c>
      <c r="AA21" s="214" t="e">
        <f t="shared" si="11"/>
        <v>#DIV/0!</v>
      </c>
      <c r="AB21" s="180"/>
      <c r="AC21" s="203">
        <f t="shared" si="12"/>
        <v>0</v>
      </c>
      <c r="AD21" s="204">
        <f t="shared" si="13"/>
        <v>0</v>
      </c>
      <c r="AE21" s="196" t="e">
        <f t="shared" si="14"/>
        <v>#DIV/0!</v>
      </c>
      <c r="AF21" s="208" t="e">
        <f t="shared" si="15"/>
        <v>#DIV/0!</v>
      </c>
      <c r="AG21" s="211" t="e">
        <f t="shared" si="16"/>
        <v>#DIV/0!</v>
      </c>
    </row>
    <row r="22" spans="1:33" s="144" customFormat="1" ht="11.25">
      <c r="A22" s="150">
        <f t="shared" si="17"/>
        <v>7</v>
      </c>
      <c r="B22" s="164"/>
      <c r="C22" s="164"/>
      <c r="D22" s="164"/>
      <c r="E22" s="239"/>
      <c r="F22" s="162"/>
      <c r="G22" s="164"/>
      <c r="H22" s="164"/>
      <c r="I22" s="196">
        <f t="shared" si="0"/>
        <v>0</v>
      </c>
      <c r="J22" s="199">
        <f t="shared" si="1"/>
        <v>0</v>
      </c>
      <c r="K22" s="196">
        <f t="shared" si="2"/>
        <v>0</v>
      </c>
      <c r="L22" s="164"/>
      <c r="M22" s="205" t="e">
        <f t="shared" si="3"/>
        <v>#DIV/0!</v>
      </c>
      <c r="N22" s="164"/>
      <c r="O22" s="196" t="e">
        <f t="shared" si="4"/>
        <v>#DIV/0!</v>
      </c>
      <c r="P22" s="197" t="e">
        <f t="shared" si="5"/>
        <v>#DIV/0!</v>
      </c>
      <c r="Q22" s="184"/>
      <c r="R22" s="172"/>
      <c r="S22" s="172"/>
      <c r="T22" s="199">
        <f t="shared" si="6"/>
        <v>0</v>
      </c>
      <c r="U22" s="199">
        <f t="shared" si="7"/>
        <v>0</v>
      </c>
      <c r="V22" s="199">
        <f t="shared" si="8"/>
        <v>0</v>
      </c>
      <c r="W22" s="172"/>
      <c r="X22" s="205" t="e">
        <f t="shared" si="9"/>
        <v>#DIV/0!</v>
      </c>
      <c r="Y22" s="174"/>
      <c r="Z22" s="201" t="e">
        <f t="shared" si="10"/>
        <v>#DIV/0!</v>
      </c>
      <c r="AA22" s="214" t="e">
        <f t="shared" si="11"/>
        <v>#DIV/0!</v>
      </c>
      <c r="AB22" s="180"/>
      <c r="AC22" s="203">
        <f t="shared" si="12"/>
        <v>0</v>
      </c>
      <c r="AD22" s="204">
        <f t="shared" si="13"/>
        <v>0</v>
      </c>
      <c r="AE22" s="196" t="e">
        <f t="shared" si="14"/>
        <v>#DIV/0!</v>
      </c>
      <c r="AF22" s="208" t="e">
        <f t="shared" si="15"/>
        <v>#DIV/0!</v>
      </c>
      <c r="AG22" s="211" t="e">
        <f t="shared" si="16"/>
        <v>#DIV/0!</v>
      </c>
    </row>
    <row r="23" spans="1:33" s="144" customFormat="1" ht="11.25">
      <c r="A23" s="150">
        <f t="shared" si="17"/>
        <v>8</v>
      </c>
      <c r="B23" s="164"/>
      <c r="C23" s="164"/>
      <c r="D23" s="164"/>
      <c r="E23" s="239"/>
      <c r="F23" s="162"/>
      <c r="G23" s="164"/>
      <c r="H23" s="164"/>
      <c r="I23" s="196">
        <f t="shared" si="0"/>
        <v>0</v>
      </c>
      <c r="J23" s="199">
        <f t="shared" si="1"/>
        <v>0</v>
      </c>
      <c r="K23" s="196">
        <f t="shared" si="2"/>
        <v>0</v>
      </c>
      <c r="L23" s="164"/>
      <c r="M23" s="205" t="e">
        <f t="shared" si="3"/>
        <v>#DIV/0!</v>
      </c>
      <c r="N23" s="164"/>
      <c r="O23" s="196" t="e">
        <f t="shared" si="4"/>
        <v>#DIV/0!</v>
      </c>
      <c r="P23" s="197" t="e">
        <f t="shared" si="5"/>
        <v>#DIV/0!</v>
      </c>
      <c r="Q23" s="184"/>
      <c r="R23" s="172"/>
      <c r="S23" s="172"/>
      <c r="T23" s="199">
        <f t="shared" si="6"/>
        <v>0</v>
      </c>
      <c r="U23" s="199">
        <f t="shared" si="7"/>
        <v>0</v>
      </c>
      <c r="V23" s="199">
        <f t="shared" si="8"/>
        <v>0</v>
      </c>
      <c r="W23" s="172"/>
      <c r="X23" s="205" t="e">
        <f t="shared" si="9"/>
        <v>#DIV/0!</v>
      </c>
      <c r="Y23" s="174"/>
      <c r="Z23" s="201" t="e">
        <f t="shared" si="10"/>
        <v>#DIV/0!</v>
      </c>
      <c r="AA23" s="214" t="e">
        <f t="shared" si="11"/>
        <v>#DIV/0!</v>
      </c>
      <c r="AB23" s="180"/>
      <c r="AC23" s="203">
        <f t="shared" si="12"/>
        <v>0</v>
      </c>
      <c r="AD23" s="204">
        <f t="shared" si="13"/>
        <v>0</v>
      </c>
      <c r="AE23" s="196" t="e">
        <f t="shared" si="14"/>
        <v>#DIV/0!</v>
      </c>
      <c r="AF23" s="208" t="e">
        <f t="shared" si="15"/>
        <v>#DIV/0!</v>
      </c>
      <c r="AG23" s="211" t="e">
        <f t="shared" si="16"/>
        <v>#DIV/0!</v>
      </c>
    </row>
    <row r="24" spans="1:33" s="144" customFormat="1" ht="11.25">
      <c r="A24" s="150">
        <f t="shared" si="17"/>
        <v>9</v>
      </c>
      <c r="B24" s="164"/>
      <c r="C24" s="164"/>
      <c r="D24" s="164"/>
      <c r="E24" s="239"/>
      <c r="F24" s="162"/>
      <c r="G24" s="164"/>
      <c r="H24" s="164"/>
      <c r="I24" s="196">
        <f t="shared" si="0"/>
        <v>0</v>
      </c>
      <c r="J24" s="199">
        <f t="shared" si="1"/>
        <v>0</v>
      </c>
      <c r="K24" s="196">
        <f t="shared" si="2"/>
        <v>0</v>
      </c>
      <c r="L24" s="164"/>
      <c r="M24" s="205" t="e">
        <f t="shared" si="3"/>
        <v>#DIV/0!</v>
      </c>
      <c r="N24" s="164"/>
      <c r="O24" s="196" t="e">
        <f t="shared" si="4"/>
        <v>#DIV/0!</v>
      </c>
      <c r="P24" s="197" t="e">
        <f t="shared" si="5"/>
        <v>#DIV/0!</v>
      </c>
      <c r="Q24" s="184"/>
      <c r="R24" s="172"/>
      <c r="S24" s="172"/>
      <c r="T24" s="199">
        <f t="shared" si="6"/>
        <v>0</v>
      </c>
      <c r="U24" s="199">
        <f t="shared" si="7"/>
        <v>0</v>
      </c>
      <c r="V24" s="199">
        <f t="shared" si="8"/>
        <v>0</v>
      </c>
      <c r="W24" s="172"/>
      <c r="X24" s="205" t="e">
        <f t="shared" si="9"/>
        <v>#DIV/0!</v>
      </c>
      <c r="Y24" s="174"/>
      <c r="Z24" s="201" t="e">
        <f t="shared" si="10"/>
        <v>#DIV/0!</v>
      </c>
      <c r="AA24" s="214" t="e">
        <f t="shared" si="11"/>
        <v>#DIV/0!</v>
      </c>
      <c r="AB24" s="180"/>
      <c r="AC24" s="203">
        <f t="shared" si="12"/>
        <v>0</v>
      </c>
      <c r="AD24" s="204">
        <f t="shared" si="13"/>
        <v>0</v>
      </c>
      <c r="AE24" s="196" t="e">
        <f t="shared" si="14"/>
        <v>#DIV/0!</v>
      </c>
      <c r="AF24" s="208" t="e">
        <f t="shared" si="15"/>
        <v>#DIV/0!</v>
      </c>
      <c r="AG24" s="211" t="e">
        <f t="shared" si="16"/>
        <v>#DIV/0!</v>
      </c>
    </row>
    <row r="25" spans="1:33" s="144" customFormat="1" ht="11.25">
      <c r="A25" s="150">
        <f t="shared" si="17"/>
        <v>10</v>
      </c>
      <c r="B25" s="164"/>
      <c r="C25" s="164"/>
      <c r="D25" s="164"/>
      <c r="E25" s="239"/>
      <c r="F25" s="162"/>
      <c r="G25" s="164"/>
      <c r="H25" s="164"/>
      <c r="I25" s="196">
        <f t="shared" si="0"/>
        <v>0</v>
      </c>
      <c r="J25" s="199">
        <f t="shared" si="1"/>
        <v>0</v>
      </c>
      <c r="K25" s="196">
        <f t="shared" si="2"/>
        <v>0</v>
      </c>
      <c r="L25" s="164"/>
      <c r="M25" s="205" t="e">
        <f t="shared" si="3"/>
        <v>#DIV/0!</v>
      </c>
      <c r="N25" s="164"/>
      <c r="O25" s="196" t="e">
        <f t="shared" si="4"/>
        <v>#DIV/0!</v>
      </c>
      <c r="P25" s="197" t="e">
        <f t="shared" si="5"/>
        <v>#DIV/0!</v>
      </c>
      <c r="Q25" s="184"/>
      <c r="R25" s="172"/>
      <c r="S25" s="172"/>
      <c r="T25" s="199">
        <f t="shared" si="6"/>
        <v>0</v>
      </c>
      <c r="U25" s="199">
        <f t="shared" si="7"/>
        <v>0</v>
      </c>
      <c r="V25" s="199">
        <f t="shared" si="8"/>
        <v>0</v>
      </c>
      <c r="W25" s="172"/>
      <c r="X25" s="205" t="e">
        <f t="shared" si="9"/>
        <v>#DIV/0!</v>
      </c>
      <c r="Y25" s="174"/>
      <c r="Z25" s="201" t="e">
        <f t="shared" si="10"/>
        <v>#DIV/0!</v>
      </c>
      <c r="AA25" s="214" t="e">
        <f t="shared" si="11"/>
        <v>#DIV/0!</v>
      </c>
      <c r="AB25" s="180"/>
      <c r="AC25" s="203">
        <f t="shared" si="12"/>
        <v>0</v>
      </c>
      <c r="AD25" s="204">
        <f t="shared" si="13"/>
        <v>0</v>
      </c>
      <c r="AE25" s="196" t="e">
        <f t="shared" si="14"/>
        <v>#DIV/0!</v>
      </c>
      <c r="AF25" s="208" t="e">
        <f t="shared" si="15"/>
        <v>#DIV/0!</v>
      </c>
      <c r="AG25" s="211" t="e">
        <f t="shared" si="16"/>
        <v>#DIV/0!</v>
      </c>
    </row>
    <row r="26" spans="1:33" s="144" customFormat="1" ht="11.25">
      <c r="A26" s="150">
        <f t="shared" si="17"/>
        <v>11</v>
      </c>
      <c r="B26" s="164"/>
      <c r="C26" s="164"/>
      <c r="D26" s="164"/>
      <c r="E26" s="239"/>
      <c r="F26" s="162"/>
      <c r="G26" s="164"/>
      <c r="H26" s="164"/>
      <c r="I26" s="196">
        <f t="shared" si="0"/>
        <v>0</v>
      </c>
      <c r="J26" s="199">
        <f t="shared" si="1"/>
        <v>0</v>
      </c>
      <c r="K26" s="196">
        <f t="shared" si="2"/>
        <v>0</v>
      </c>
      <c r="L26" s="164"/>
      <c r="M26" s="205" t="e">
        <f t="shared" si="3"/>
        <v>#DIV/0!</v>
      </c>
      <c r="N26" s="164"/>
      <c r="O26" s="196" t="e">
        <f t="shared" si="4"/>
        <v>#DIV/0!</v>
      </c>
      <c r="P26" s="197" t="e">
        <f t="shared" si="5"/>
        <v>#DIV/0!</v>
      </c>
      <c r="Q26" s="184"/>
      <c r="R26" s="172"/>
      <c r="S26" s="172"/>
      <c r="T26" s="199">
        <f t="shared" si="6"/>
        <v>0</v>
      </c>
      <c r="U26" s="199">
        <f t="shared" si="7"/>
        <v>0</v>
      </c>
      <c r="V26" s="199">
        <f t="shared" si="8"/>
        <v>0</v>
      </c>
      <c r="W26" s="172"/>
      <c r="X26" s="205" t="e">
        <f t="shared" si="9"/>
        <v>#DIV/0!</v>
      </c>
      <c r="Y26" s="174"/>
      <c r="Z26" s="201" t="e">
        <f t="shared" si="10"/>
        <v>#DIV/0!</v>
      </c>
      <c r="AA26" s="214" t="e">
        <f t="shared" si="11"/>
        <v>#DIV/0!</v>
      </c>
      <c r="AB26" s="180"/>
      <c r="AC26" s="203">
        <f t="shared" si="12"/>
        <v>0</v>
      </c>
      <c r="AD26" s="204">
        <f t="shared" si="13"/>
        <v>0</v>
      </c>
      <c r="AE26" s="196" t="e">
        <f t="shared" si="14"/>
        <v>#DIV/0!</v>
      </c>
      <c r="AF26" s="208" t="e">
        <f t="shared" si="15"/>
        <v>#DIV/0!</v>
      </c>
      <c r="AG26" s="211" t="e">
        <f t="shared" si="16"/>
        <v>#DIV/0!</v>
      </c>
    </row>
    <row r="27" spans="1:33" s="144" customFormat="1" ht="11.25">
      <c r="A27" s="150">
        <f t="shared" si="17"/>
        <v>12</v>
      </c>
      <c r="B27" s="164"/>
      <c r="C27" s="164"/>
      <c r="D27" s="164"/>
      <c r="E27" s="239"/>
      <c r="F27" s="162"/>
      <c r="G27" s="164"/>
      <c r="H27" s="164"/>
      <c r="I27" s="196">
        <f t="shared" si="0"/>
        <v>0</v>
      </c>
      <c r="J27" s="199">
        <f t="shared" si="1"/>
        <v>0</v>
      </c>
      <c r="K27" s="196">
        <f t="shared" si="2"/>
        <v>0</v>
      </c>
      <c r="L27" s="164"/>
      <c r="M27" s="205" t="e">
        <f t="shared" si="3"/>
        <v>#DIV/0!</v>
      </c>
      <c r="N27" s="164"/>
      <c r="O27" s="196" t="e">
        <f t="shared" si="4"/>
        <v>#DIV/0!</v>
      </c>
      <c r="P27" s="197" t="e">
        <f t="shared" si="5"/>
        <v>#DIV/0!</v>
      </c>
      <c r="Q27" s="184"/>
      <c r="R27" s="172"/>
      <c r="S27" s="172"/>
      <c r="T27" s="199">
        <f t="shared" si="6"/>
        <v>0</v>
      </c>
      <c r="U27" s="199">
        <f t="shared" si="7"/>
        <v>0</v>
      </c>
      <c r="V27" s="199">
        <f t="shared" si="8"/>
        <v>0</v>
      </c>
      <c r="W27" s="172"/>
      <c r="X27" s="205" t="e">
        <f t="shared" si="9"/>
        <v>#DIV/0!</v>
      </c>
      <c r="Y27" s="174"/>
      <c r="Z27" s="201" t="e">
        <f t="shared" si="10"/>
        <v>#DIV/0!</v>
      </c>
      <c r="AA27" s="214" t="e">
        <f t="shared" si="11"/>
        <v>#DIV/0!</v>
      </c>
      <c r="AB27" s="180"/>
      <c r="AC27" s="203">
        <f t="shared" si="12"/>
        <v>0</v>
      </c>
      <c r="AD27" s="204">
        <f t="shared" si="13"/>
        <v>0</v>
      </c>
      <c r="AE27" s="196" t="e">
        <f t="shared" si="14"/>
        <v>#DIV/0!</v>
      </c>
      <c r="AF27" s="208" t="e">
        <f t="shared" si="15"/>
        <v>#DIV/0!</v>
      </c>
      <c r="AG27" s="211" t="e">
        <f t="shared" si="16"/>
        <v>#DIV/0!</v>
      </c>
    </row>
    <row r="28" spans="1:33" s="144" customFormat="1" ht="11.25">
      <c r="A28" s="150">
        <f t="shared" si="17"/>
        <v>13</v>
      </c>
      <c r="B28" s="164"/>
      <c r="C28" s="164"/>
      <c r="D28" s="164"/>
      <c r="E28" s="239"/>
      <c r="F28" s="162"/>
      <c r="G28" s="164"/>
      <c r="H28" s="164"/>
      <c r="I28" s="196">
        <f t="shared" si="0"/>
        <v>0</v>
      </c>
      <c r="J28" s="199">
        <f t="shared" si="1"/>
        <v>0</v>
      </c>
      <c r="K28" s="196">
        <f t="shared" si="2"/>
        <v>0</v>
      </c>
      <c r="L28" s="164"/>
      <c r="M28" s="205" t="e">
        <f t="shared" si="3"/>
        <v>#DIV/0!</v>
      </c>
      <c r="N28" s="164"/>
      <c r="O28" s="196" t="e">
        <f t="shared" si="4"/>
        <v>#DIV/0!</v>
      </c>
      <c r="P28" s="197" t="e">
        <f t="shared" si="5"/>
        <v>#DIV/0!</v>
      </c>
      <c r="Q28" s="184"/>
      <c r="R28" s="172"/>
      <c r="S28" s="172"/>
      <c r="T28" s="199">
        <f t="shared" si="6"/>
        <v>0</v>
      </c>
      <c r="U28" s="199">
        <f t="shared" si="7"/>
        <v>0</v>
      </c>
      <c r="V28" s="199">
        <f t="shared" si="8"/>
        <v>0</v>
      </c>
      <c r="W28" s="172"/>
      <c r="X28" s="205" t="e">
        <f t="shared" si="9"/>
        <v>#DIV/0!</v>
      </c>
      <c r="Y28" s="174"/>
      <c r="Z28" s="201" t="e">
        <f t="shared" si="10"/>
        <v>#DIV/0!</v>
      </c>
      <c r="AA28" s="214" t="e">
        <f t="shared" si="11"/>
        <v>#DIV/0!</v>
      </c>
      <c r="AB28" s="180"/>
      <c r="AC28" s="203">
        <f t="shared" si="12"/>
        <v>0</v>
      </c>
      <c r="AD28" s="204">
        <f t="shared" si="13"/>
        <v>0</v>
      </c>
      <c r="AE28" s="196" t="e">
        <f t="shared" si="14"/>
        <v>#DIV/0!</v>
      </c>
      <c r="AF28" s="208" t="e">
        <f t="shared" si="15"/>
        <v>#DIV/0!</v>
      </c>
      <c r="AG28" s="211" t="e">
        <f t="shared" si="16"/>
        <v>#DIV/0!</v>
      </c>
    </row>
    <row r="29" spans="1:33" s="144" customFormat="1" ht="11.25">
      <c r="A29" s="150">
        <f t="shared" si="17"/>
        <v>14</v>
      </c>
      <c r="B29" s="164"/>
      <c r="C29" s="164"/>
      <c r="D29" s="164"/>
      <c r="E29" s="239"/>
      <c r="F29" s="162"/>
      <c r="G29" s="164"/>
      <c r="H29" s="164"/>
      <c r="I29" s="196">
        <f t="shared" si="0"/>
        <v>0</v>
      </c>
      <c r="J29" s="199">
        <f t="shared" si="1"/>
        <v>0</v>
      </c>
      <c r="K29" s="196">
        <f t="shared" si="2"/>
        <v>0</v>
      </c>
      <c r="L29" s="164"/>
      <c r="M29" s="205" t="e">
        <f t="shared" si="3"/>
        <v>#DIV/0!</v>
      </c>
      <c r="N29" s="164"/>
      <c r="O29" s="196" t="e">
        <f t="shared" si="4"/>
        <v>#DIV/0!</v>
      </c>
      <c r="P29" s="197" t="e">
        <f t="shared" si="5"/>
        <v>#DIV/0!</v>
      </c>
      <c r="Q29" s="184"/>
      <c r="R29" s="172"/>
      <c r="S29" s="172"/>
      <c r="T29" s="199">
        <f t="shared" si="6"/>
        <v>0</v>
      </c>
      <c r="U29" s="199">
        <f t="shared" si="7"/>
        <v>0</v>
      </c>
      <c r="V29" s="199">
        <f t="shared" si="8"/>
        <v>0</v>
      </c>
      <c r="W29" s="172"/>
      <c r="X29" s="205" t="e">
        <f t="shared" si="9"/>
        <v>#DIV/0!</v>
      </c>
      <c r="Y29" s="174"/>
      <c r="Z29" s="201" t="e">
        <f t="shared" si="10"/>
        <v>#DIV/0!</v>
      </c>
      <c r="AA29" s="214" t="e">
        <f t="shared" si="11"/>
        <v>#DIV/0!</v>
      </c>
      <c r="AB29" s="180"/>
      <c r="AC29" s="203">
        <f t="shared" si="12"/>
        <v>0</v>
      </c>
      <c r="AD29" s="204">
        <f t="shared" si="13"/>
        <v>0</v>
      </c>
      <c r="AE29" s="196" t="e">
        <f t="shared" si="14"/>
        <v>#DIV/0!</v>
      </c>
      <c r="AF29" s="208" t="e">
        <f t="shared" si="15"/>
        <v>#DIV/0!</v>
      </c>
      <c r="AG29" s="211" t="e">
        <f t="shared" si="16"/>
        <v>#DIV/0!</v>
      </c>
    </row>
    <row r="30" spans="1:33" s="144" customFormat="1" ht="11.25">
      <c r="A30" s="150">
        <f t="shared" si="17"/>
        <v>15</v>
      </c>
      <c r="B30" s="164"/>
      <c r="C30" s="164"/>
      <c r="D30" s="164"/>
      <c r="E30" s="239"/>
      <c r="F30" s="162"/>
      <c r="G30" s="164"/>
      <c r="H30" s="164"/>
      <c r="I30" s="196">
        <f t="shared" si="0"/>
        <v>0</v>
      </c>
      <c r="J30" s="199">
        <f t="shared" si="1"/>
        <v>0</v>
      </c>
      <c r="K30" s="196">
        <f t="shared" si="2"/>
        <v>0</v>
      </c>
      <c r="L30" s="164"/>
      <c r="M30" s="205" t="e">
        <f t="shared" si="3"/>
        <v>#DIV/0!</v>
      </c>
      <c r="N30" s="164"/>
      <c r="O30" s="196" t="e">
        <f t="shared" si="4"/>
        <v>#DIV/0!</v>
      </c>
      <c r="P30" s="197" t="e">
        <f t="shared" si="5"/>
        <v>#DIV/0!</v>
      </c>
      <c r="Q30" s="184"/>
      <c r="R30" s="172"/>
      <c r="S30" s="172"/>
      <c r="T30" s="199">
        <f t="shared" si="6"/>
        <v>0</v>
      </c>
      <c r="U30" s="199">
        <f t="shared" si="7"/>
        <v>0</v>
      </c>
      <c r="V30" s="199">
        <f t="shared" si="8"/>
        <v>0</v>
      </c>
      <c r="W30" s="172"/>
      <c r="X30" s="205" t="e">
        <f t="shared" si="9"/>
        <v>#DIV/0!</v>
      </c>
      <c r="Y30" s="174"/>
      <c r="Z30" s="201" t="e">
        <f t="shared" si="10"/>
        <v>#DIV/0!</v>
      </c>
      <c r="AA30" s="214" t="e">
        <f t="shared" si="11"/>
        <v>#DIV/0!</v>
      </c>
      <c r="AB30" s="180"/>
      <c r="AC30" s="203">
        <f t="shared" si="12"/>
        <v>0</v>
      </c>
      <c r="AD30" s="204">
        <f t="shared" si="13"/>
        <v>0</v>
      </c>
      <c r="AE30" s="196" t="e">
        <f t="shared" si="14"/>
        <v>#DIV/0!</v>
      </c>
      <c r="AF30" s="208" t="e">
        <f t="shared" si="15"/>
        <v>#DIV/0!</v>
      </c>
      <c r="AG30" s="211" t="e">
        <f t="shared" si="16"/>
        <v>#DIV/0!</v>
      </c>
    </row>
    <row r="31" spans="1:33" s="144" customFormat="1" ht="11.25">
      <c r="A31" s="150">
        <f t="shared" si="17"/>
        <v>16</v>
      </c>
      <c r="B31" s="164"/>
      <c r="C31" s="164"/>
      <c r="D31" s="164"/>
      <c r="E31" s="239"/>
      <c r="F31" s="162"/>
      <c r="G31" s="164"/>
      <c r="H31" s="164"/>
      <c r="I31" s="196">
        <f t="shared" si="0"/>
        <v>0</v>
      </c>
      <c r="J31" s="199">
        <f t="shared" si="1"/>
        <v>0</v>
      </c>
      <c r="K31" s="196">
        <f t="shared" si="2"/>
        <v>0</v>
      </c>
      <c r="L31" s="164"/>
      <c r="M31" s="205" t="e">
        <f t="shared" si="3"/>
        <v>#DIV/0!</v>
      </c>
      <c r="N31" s="164"/>
      <c r="O31" s="196" t="e">
        <f t="shared" si="4"/>
        <v>#DIV/0!</v>
      </c>
      <c r="P31" s="197" t="e">
        <f t="shared" si="5"/>
        <v>#DIV/0!</v>
      </c>
      <c r="Q31" s="184"/>
      <c r="R31" s="172"/>
      <c r="S31" s="172"/>
      <c r="T31" s="199">
        <f t="shared" si="6"/>
        <v>0</v>
      </c>
      <c r="U31" s="199">
        <f t="shared" si="7"/>
        <v>0</v>
      </c>
      <c r="V31" s="199">
        <f t="shared" si="8"/>
        <v>0</v>
      </c>
      <c r="W31" s="172"/>
      <c r="X31" s="205" t="e">
        <f t="shared" si="9"/>
        <v>#DIV/0!</v>
      </c>
      <c r="Y31" s="174"/>
      <c r="Z31" s="201" t="e">
        <f t="shared" si="10"/>
        <v>#DIV/0!</v>
      </c>
      <c r="AA31" s="214" t="e">
        <f t="shared" si="11"/>
        <v>#DIV/0!</v>
      </c>
      <c r="AB31" s="180"/>
      <c r="AC31" s="203">
        <f t="shared" si="12"/>
        <v>0</v>
      </c>
      <c r="AD31" s="204">
        <f t="shared" si="13"/>
        <v>0</v>
      </c>
      <c r="AE31" s="196" t="e">
        <f t="shared" si="14"/>
        <v>#DIV/0!</v>
      </c>
      <c r="AF31" s="208" t="e">
        <f t="shared" si="15"/>
        <v>#DIV/0!</v>
      </c>
      <c r="AG31" s="211" t="e">
        <f t="shared" si="16"/>
        <v>#DIV/0!</v>
      </c>
    </row>
    <row r="32" spans="1:33" s="144" customFormat="1" ht="11.25">
      <c r="A32" s="150">
        <f t="shared" si="17"/>
        <v>17</v>
      </c>
      <c r="B32" s="164"/>
      <c r="C32" s="164"/>
      <c r="D32" s="164"/>
      <c r="E32" s="239"/>
      <c r="F32" s="162"/>
      <c r="G32" s="164"/>
      <c r="H32" s="164"/>
      <c r="I32" s="196">
        <f t="shared" si="0"/>
        <v>0</v>
      </c>
      <c r="J32" s="199">
        <f t="shared" si="1"/>
        <v>0</v>
      </c>
      <c r="K32" s="196">
        <f t="shared" si="2"/>
        <v>0</v>
      </c>
      <c r="L32" s="164"/>
      <c r="M32" s="205" t="e">
        <f t="shared" si="3"/>
        <v>#DIV/0!</v>
      </c>
      <c r="N32" s="164"/>
      <c r="O32" s="196" t="e">
        <f t="shared" si="4"/>
        <v>#DIV/0!</v>
      </c>
      <c r="P32" s="197" t="e">
        <f t="shared" si="5"/>
        <v>#DIV/0!</v>
      </c>
      <c r="Q32" s="184"/>
      <c r="R32" s="172"/>
      <c r="S32" s="172"/>
      <c r="T32" s="199">
        <f t="shared" si="6"/>
        <v>0</v>
      </c>
      <c r="U32" s="199">
        <f t="shared" si="7"/>
        <v>0</v>
      </c>
      <c r="V32" s="199">
        <f t="shared" si="8"/>
        <v>0</v>
      </c>
      <c r="W32" s="172"/>
      <c r="X32" s="205" t="e">
        <f t="shared" si="9"/>
        <v>#DIV/0!</v>
      </c>
      <c r="Y32" s="174"/>
      <c r="Z32" s="201" t="e">
        <f t="shared" si="10"/>
        <v>#DIV/0!</v>
      </c>
      <c r="AA32" s="214" t="e">
        <f t="shared" si="11"/>
        <v>#DIV/0!</v>
      </c>
      <c r="AB32" s="180"/>
      <c r="AC32" s="203">
        <f t="shared" si="12"/>
        <v>0</v>
      </c>
      <c r="AD32" s="204">
        <f t="shared" si="13"/>
        <v>0</v>
      </c>
      <c r="AE32" s="196" t="e">
        <f t="shared" si="14"/>
        <v>#DIV/0!</v>
      </c>
      <c r="AF32" s="208" t="e">
        <f t="shared" si="15"/>
        <v>#DIV/0!</v>
      </c>
      <c r="AG32" s="211" t="e">
        <f t="shared" si="16"/>
        <v>#DIV/0!</v>
      </c>
    </row>
    <row r="33" spans="1:33" s="144" customFormat="1" ht="11.25">
      <c r="A33" s="150">
        <f t="shared" si="17"/>
        <v>18</v>
      </c>
      <c r="B33" s="164"/>
      <c r="C33" s="164"/>
      <c r="D33" s="164"/>
      <c r="E33" s="239"/>
      <c r="F33" s="162"/>
      <c r="G33" s="164"/>
      <c r="H33" s="164"/>
      <c r="I33" s="196">
        <f t="shared" si="0"/>
        <v>0</v>
      </c>
      <c r="J33" s="199">
        <f t="shared" si="1"/>
        <v>0</v>
      </c>
      <c r="K33" s="196">
        <f t="shared" si="2"/>
        <v>0</v>
      </c>
      <c r="L33" s="164"/>
      <c r="M33" s="205" t="e">
        <f t="shared" si="3"/>
        <v>#DIV/0!</v>
      </c>
      <c r="N33" s="164"/>
      <c r="O33" s="196" t="e">
        <f t="shared" si="4"/>
        <v>#DIV/0!</v>
      </c>
      <c r="P33" s="197" t="e">
        <f t="shared" si="5"/>
        <v>#DIV/0!</v>
      </c>
      <c r="Q33" s="184"/>
      <c r="R33" s="172"/>
      <c r="S33" s="172"/>
      <c r="T33" s="199">
        <f t="shared" si="6"/>
        <v>0</v>
      </c>
      <c r="U33" s="199">
        <f t="shared" si="7"/>
        <v>0</v>
      </c>
      <c r="V33" s="199">
        <f t="shared" si="8"/>
        <v>0</v>
      </c>
      <c r="W33" s="172"/>
      <c r="X33" s="205" t="e">
        <f t="shared" si="9"/>
        <v>#DIV/0!</v>
      </c>
      <c r="Y33" s="174"/>
      <c r="Z33" s="201" t="e">
        <f t="shared" si="10"/>
        <v>#DIV/0!</v>
      </c>
      <c r="AA33" s="214" t="e">
        <f t="shared" si="11"/>
        <v>#DIV/0!</v>
      </c>
      <c r="AB33" s="180"/>
      <c r="AC33" s="203">
        <f t="shared" si="12"/>
        <v>0</v>
      </c>
      <c r="AD33" s="204">
        <f t="shared" si="13"/>
        <v>0</v>
      </c>
      <c r="AE33" s="196" t="e">
        <f t="shared" si="14"/>
        <v>#DIV/0!</v>
      </c>
      <c r="AF33" s="208" t="e">
        <f t="shared" si="15"/>
        <v>#DIV/0!</v>
      </c>
      <c r="AG33" s="211" t="e">
        <f t="shared" si="16"/>
        <v>#DIV/0!</v>
      </c>
    </row>
    <row r="34" spans="1:33" s="144" customFormat="1" ht="11.25">
      <c r="A34" s="150">
        <f t="shared" si="17"/>
        <v>19</v>
      </c>
      <c r="B34" s="164"/>
      <c r="C34" s="164"/>
      <c r="D34" s="164"/>
      <c r="E34" s="239"/>
      <c r="F34" s="162"/>
      <c r="G34" s="164"/>
      <c r="H34" s="164"/>
      <c r="I34" s="196">
        <f t="shared" si="0"/>
        <v>0</v>
      </c>
      <c r="J34" s="199">
        <f t="shared" si="1"/>
        <v>0</v>
      </c>
      <c r="K34" s="196">
        <f t="shared" si="2"/>
        <v>0</v>
      </c>
      <c r="L34" s="164"/>
      <c r="M34" s="205" t="e">
        <f t="shared" si="3"/>
        <v>#DIV/0!</v>
      </c>
      <c r="N34" s="164"/>
      <c r="O34" s="196" t="e">
        <f t="shared" si="4"/>
        <v>#DIV/0!</v>
      </c>
      <c r="P34" s="197" t="e">
        <f t="shared" si="5"/>
        <v>#DIV/0!</v>
      </c>
      <c r="Q34" s="184"/>
      <c r="R34" s="172"/>
      <c r="S34" s="172"/>
      <c r="T34" s="199">
        <f t="shared" si="6"/>
        <v>0</v>
      </c>
      <c r="U34" s="199">
        <f t="shared" si="7"/>
        <v>0</v>
      </c>
      <c r="V34" s="199">
        <f t="shared" si="8"/>
        <v>0</v>
      </c>
      <c r="W34" s="172"/>
      <c r="X34" s="205" t="e">
        <f t="shared" si="9"/>
        <v>#DIV/0!</v>
      </c>
      <c r="Y34" s="174"/>
      <c r="Z34" s="201" t="e">
        <f t="shared" si="10"/>
        <v>#DIV/0!</v>
      </c>
      <c r="AA34" s="214" t="e">
        <f t="shared" si="11"/>
        <v>#DIV/0!</v>
      </c>
      <c r="AB34" s="180"/>
      <c r="AC34" s="203">
        <f t="shared" si="12"/>
        <v>0</v>
      </c>
      <c r="AD34" s="204">
        <f t="shared" si="13"/>
        <v>0</v>
      </c>
      <c r="AE34" s="196" t="e">
        <f t="shared" si="14"/>
        <v>#DIV/0!</v>
      </c>
      <c r="AF34" s="208" t="e">
        <f t="shared" si="15"/>
        <v>#DIV/0!</v>
      </c>
      <c r="AG34" s="211" t="e">
        <f t="shared" si="16"/>
        <v>#DIV/0!</v>
      </c>
    </row>
    <row r="35" spans="1:33" s="144" customFormat="1" ht="11.25">
      <c r="A35" s="150">
        <f t="shared" si="17"/>
        <v>20</v>
      </c>
      <c r="B35" s="164"/>
      <c r="C35" s="164"/>
      <c r="D35" s="164"/>
      <c r="E35" s="239"/>
      <c r="F35" s="162"/>
      <c r="G35" s="164"/>
      <c r="H35" s="164"/>
      <c r="I35" s="196">
        <f t="shared" si="0"/>
        <v>0</v>
      </c>
      <c r="J35" s="199">
        <f t="shared" si="1"/>
        <v>0</v>
      </c>
      <c r="K35" s="196">
        <f t="shared" si="2"/>
        <v>0</v>
      </c>
      <c r="L35" s="164"/>
      <c r="M35" s="205" t="e">
        <f t="shared" si="3"/>
        <v>#DIV/0!</v>
      </c>
      <c r="N35" s="164"/>
      <c r="O35" s="196" t="e">
        <f t="shared" si="4"/>
        <v>#DIV/0!</v>
      </c>
      <c r="P35" s="197" t="e">
        <f t="shared" si="5"/>
        <v>#DIV/0!</v>
      </c>
      <c r="Q35" s="184"/>
      <c r="R35" s="172"/>
      <c r="S35" s="172"/>
      <c r="T35" s="199">
        <f t="shared" si="6"/>
        <v>0</v>
      </c>
      <c r="U35" s="199">
        <f t="shared" si="7"/>
        <v>0</v>
      </c>
      <c r="V35" s="199">
        <f t="shared" si="8"/>
        <v>0</v>
      </c>
      <c r="W35" s="172"/>
      <c r="X35" s="205" t="e">
        <f t="shared" si="9"/>
        <v>#DIV/0!</v>
      </c>
      <c r="Y35" s="174"/>
      <c r="Z35" s="201" t="e">
        <f t="shared" si="10"/>
        <v>#DIV/0!</v>
      </c>
      <c r="AA35" s="214" t="e">
        <f t="shared" si="11"/>
        <v>#DIV/0!</v>
      </c>
      <c r="AB35" s="180"/>
      <c r="AC35" s="203">
        <f t="shared" si="12"/>
        <v>0</v>
      </c>
      <c r="AD35" s="204">
        <f t="shared" si="13"/>
        <v>0</v>
      </c>
      <c r="AE35" s="196" t="e">
        <f t="shared" si="14"/>
        <v>#DIV/0!</v>
      </c>
      <c r="AF35" s="208" t="e">
        <f t="shared" si="15"/>
        <v>#DIV/0!</v>
      </c>
      <c r="AG35" s="211" t="e">
        <f t="shared" si="16"/>
        <v>#DIV/0!</v>
      </c>
    </row>
    <row r="36" spans="1:33" s="143" customFormat="1" ht="11.25">
      <c r="A36" s="152">
        <f t="shared" ref="A36:A61" si="18">A35+1</f>
        <v>21</v>
      </c>
      <c r="B36" s="165"/>
      <c r="C36" s="165"/>
      <c r="D36" s="165"/>
      <c r="E36" s="240"/>
      <c r="F36" s="163"/>
      <c r="G36" s="165"/>
      <c r="H36" s="165"/>
      <c r="I36" s="196">
        <f t="shared" si="0"/>
        <v>0</v>
      </c>
      <c r="J36" s="199">
        <f t="shared" si="1"/>
        <v>0</v>
      </c>
      <c r="K36" s="196">
        <f t="shared" si="2"/>
        <v>0</v>
      </c>
      <c r="L36" s="165"/>
      <c r="M36" s="205" t="e">
        <f t="shared" si="3"/>
        <v>#DIV/0!</v>
      </c>
      <c r="N36" s="165"/>
      <c r="O36" s="196" t="e">
        <f t="shared" si="4"/>
        <v>#DIV/0!</v>
      </c>
      <c r="P36" s="197" t="e">
        <f t="shared" si="5"/>
        <v>#DIV/0!</v>
      </c>
      <c r="Q36" s="185"/>
      <c r="R36" s="173"/>
      <c r="S36" s="173"/>
      <c r="T36" s="199">
        <f t="shared" si="6"/>
        <v>0</v>
      </c>
      <c r="U36" s="199">
        <f t="shared" si="7"/>
        <v>0</v>
      </c>
      <c r="V36" s="199">
        <f t="shared" si="8"/>
        <v>0</v>
      </c>
      <c r="W36" s="173"/>
      <c r="X36" s="205" t="e">
        <f t="shared" si="9"/>
        <v>#DIV/0!</v>
      </c>
      <c r="Y36" s="175"/>
      <c r="Z36" s="201" t="e">
        <f t="shared" si="10"/>
        <v>#DIV/0!</v>
      </c>
      <c r="AA36" s="214" t="e">
        <f t="shared" si="11"/>
        <v>#DIV/0!</v>
      </c>
      <c r="AB36" s="181"/>
      <c r="AC36" s="203">
        <f t="shared" si="12"/>
        <v>0</v>
      </c>
      <c r="AD36" s="204">
        <f t="shared" si="13"/>
        <v>0</v>
      </c>
      <c r="AE36" s="196" t="e">
        <f t="shared" si="14"/>
        <v>#DIV/0!</v>
      </c>
      <c r="AF36" s="208" t="e">
        <f t="shared" si="15"/>
        <v>#DIV/0!</v>
      </c>
      <c r="AG36" s="211" t="e">
        <f t="shared" si="16"/>
        <v>#DIV/0!</v>
      </c>
    </row>
    <row r="37" spans="1:33" s="143" customFormat="1" ht="11.25">
      <c r="A37" s="152">
        <f t="shared" si="18"/>
        <v>22</v>
      </c>
      <c r="B37" s="165"/>
      <c r="C37" s="165"/>
      <c r="D37" s="165"/>
      <c r="E37" s="240"/>
      <c r="F37" s="163"/>
      <c r="G37" s="165"/>
      <c r="H37" s="165"/>
      <c r="I37" s="196">
        <f t="shared" si="0"/>
        <v>0</v>
      </c>
      <c r="J37" s="199">
        <f t="shared" si="1"/>
        <v>0</v>
      </c>
      <c r="K37" s="196">
        <f t="shared" si="2"/>
        <v>0</v>
      </c>
      <c r="L37" s="165"/>
      <c r="M37" s="205" t="e">
        <f t="shared" si="3"/>
        <v>#DIV/0!</v>
      </c>
      <c r="N37" s="165"/>
      <c r="O37" s="196" t="e">
        <f t="shared" si="4"/>
        <v>#DIV/0!</v>
      </c>
      <c r="P37" s="197" t="e">
        <f t="shared" si="5"/>
        <v>#DIV/0!</v>
      </c>
      <c r="Q37" s="185"/>
      <c r="R37" s="173"/>
      <c r="S37" s="173"/>
      <c r="T37" s="199">
        <f t="shared" si="6"/>
        <v>0</v>
      </c>
      <c r="U37" s="199">
        <f t="shared" si="7"/>
        <v>0</v>
      </c>
      <c r="V37" s="199">
        <f t="shared" si="8"/>
        <v>0</v>
      </c>
      <c r="W37" s="173"/>
      <c r="X37" s="205" t="e">
        <f t="shared" si="9"/>
        <v>#DIV/0!</v>
      </c>
      <c r="Y37" s="175"/>
      <c r="Z37" s="201" t="e">
        <f t="shared" si="10"/>
        <v>#DIV/0!</v>
      </c>
      <c r="AA37" s="214" t="e">
        <f t="shared" si="11"/>
        <v>#DIV/0!</v>
      </c>
      <c r="AB37" s="181"/>
      <c r="AC37" s="203">
        <f t="shared" si="12"/>
        <v>0</v>
      </c>
      <c r="AD37" s="204">
        <f t="shared" si="13"/>
        <v>0</v>
      </c>
      <c r="AE37" s="196" t="e">
        <f t="shared" si="14"/>
        <v>#DIV/0!</v>
      </c>
      <c r="AF37" s="208" t="e">
        <f t="shared" si="15"/>
        <v>#DIV/0!</v>
      </c>
      <c r="AG37" s="211" t="e">
        <f t="shared" si="16"/>
        <v>#DIV/0!</v>
      </c>
    </row>
    <row r="38" spans="1:33" s="143" customFormat="1" ht="11.25">
      <c r="A38" s="152">
        <f t="shared" si="18"/>
        <v>23</v>
      </c>
      <c r="B38" s="165"/>
      <c r="C38" s="165"/>
      <c r="D38" s="165"/>
      <c r="E38" s="240"/>
      <c r="F38" s="163"/>
      <c r="G38" s="165"/>
      <c r="H38" s="165"/>
      <c r="I38" s="196">
        <f t="shared" si="0"/>
        <v>0</v>
      </c>
      <c r="J38" s="199">
        <f t="shared" si="1"/>
        <v>0</v>
      </c>
      <c r="K38" s="196">
        <f t="shared" si="2"/>
        <v>0</v>
      </c>
      <c r="L38" s="165"/>
      <c r="M38" s="205" t="e">
        <f t="shared" si="3"/>
        <v>#DIV/0!</v>
      </c>
      <c r="N38" s="165"/>
      <c r="O38" s="196" t="e">
        <f t="shared" si="4"/>
        <v>#DIV/0!</v>
      </c>
      <c r="P38" s="197" t="e">
        <f t="shared" si="5"/>
        <v>#DIV/0!</v>
      </c>
      <c r="Q38" s="185"/>
      <c r="R38" s="173"/>
      <c r="S38" s="173"/>
      <c r="T38" s="199">
        <f t="shared" si="6"/>
        <v>0</v>
      </c>
      <c r="U38" s="199">
        <f t="shared" si="7"/>
        <v>0</v>
      </c>
      <c r="V38" s="199">
        <f t="shared" si="8"/>
        <v>0</v>
      </c>
      <c r="W38" s="173"/>
      <c r="X38" s="205" t="e">
        <f t="shared" si="9"/>
        <v>#DIV/0!</v>
      </c>
      <c r="Y38" s="175"/>
      <c r="Z38" s="201" t="e">
        <f t="shared" si="10"/>
        <v>#DIV/0!</v>
      </c>
      <c r="AA38" s="214" t="e">
        <f t="shared" si="11"/>
        <v>#DIV/0!</v>
      </c>
      <c r="AB38" s="181"/>
      <c r="AC38" s="203">
        <f t="shared" si="12"/>
        <v>0</v>
      </c>
      <c r="AD38" s="204">
        <f t="shared" si="13"/>
        <v>0</v>
      </c>
      <c r="AE38" s="196" t="e">
        <f t="shared" si="14"/>
        <v>#DIV/0!</v>
      </c>
      <c r="AF38" s="208" t="e">
        <f t="shared" si="15"/>
        <v>#DIV/0!</v>
      </c>
      <c r="AG38" s="211" t="e">
        <f t="shared" si="16"/>
        <v>#DIV/0!</v>
      </c>
    </row>
    <row r="39" spans="1:33" s="143" customFormat="1" ht="11.25">
      <c r="A39" s="152">
        <f t="shared" si="18"/>
        <v>24</v>
      </c>
      <c r="B39" s="165"/>
      <c r="C39" s="165"/>
      <c r="D39" s="165"/>
      <c r="E39" s="240"/>
      <c r="F39" s="163"/>
      <c r="G39" s="165"/>
      <c r="H39" s="165"/>
      <c r="I39" s="196">
        <f t="shared" si="0"/>
        <v>0</v>
      </c>
      <c r="J39" s="199">
        <f t="shared" si="1"/>
        <v>0</v>
      </c>
      <c r="K39" s="196">
        <f t="shared" si="2"/>
        <v>0</v>
      </c>
      <c r="L39" s="165"/>
      <c r="M39" s="205" t="e">
        <f t="shared" si="3"/>
        <v>#DIV/0!</v>
      </c>
      <c r="N39" s="165"/>
      <c r="O39" s="196" t="e">
        <f t="shared" si="4"/>
        <v>#DIV/0!</v>
      </c>
      <c r="P39" s="197" t="e">
        <f t="shared" si="5"/>
        <v>#DIV/0!</v>
      </c>
      <c r="Q39" s="185"/>
      <c r="R39" s="173"/>
      <c r="S39" s="173"/>
      <c r="T39" s="199">
        <f t="shared" si="6"/>
        <v>0</v>
      </c>
      <c r="U39" s="199">
        <f t="shared" si="7"/>
        <v>0</v>
      </c>
      <c r="V39" s="199">
        <f t="shared" si="8"/>
        <v>0</v>
      </c>
      <c r="W39" s="173"/>
      <c r="X39" s="205" t="e">
        <f t="shared" si="9"/>
        <v>#DIV/0!</v>
      </c>
      <c r="Y39" s="175"/>
      <c r="Z39" s="201" t="e">
        <f t="shared" si="10"/>
        <v>#DIV/0!</v>
      </c>
      <c r="AA39" s="214" t="e">
        <f t="shared" si="11"/>
        <v>#DIV/0!</v>
      </c>
      <c r="AB39" s="181"/>
      <c r="AC39" s="203">
        <f t="shared" si="12"/>
        <v>0</v>
      </c>
      <c r="AD39" s="204">
        <f t="shared" si="13"/>
        <v>0</v>
      </c>
      <c r="AE39" s="196" t="e">
        <f t="shared" si="14"/>
        <v>#DIV/0!</v>
      </c>
      <c r="AF39" s="208" t="e">
        <f t="shared" si="15"/>
        <v>#DIV/0!</v>
      </c>
      <c r="AG39" s="211" t="e">
        <f t="shared" si="16"/>
        <v>#DIV/0!</v>
      </c>
    </row>
    <row r="40" spans="1:33" s="143" customFormat="1" ht="11.25">
      <c r="A40" s="152">
        <f t="shared" si="18"/>
        <v>25</v>
      </c>
      <c r="B40" s="165"/>
      <c r="C40" s="165"/>
      <c r="D40" s="165"/>
      <c r="E40" s="240"/>
      <c r="F40" s="163"/>
      <c r="G40" s="165"/>
      <c r="H40" s="165"/>
      <c r="I40" s="196">
        <f t="shared" si="0"/>
        <v>0</v>
      </c>
      <c r="J40" s="199">
        <f t="shared" si="1"/>
        <v>0</v>
      </c>
      <c r="K40" s="196">
        <f t="shared" si="2"/>
        <v>0</v>
      </c>
      <c r="L40" s="165"/>
      <c r="M40" s="205" t="e">
        <f t="shared" si="3"/>
        <v>#DIV/0!</v>
      </c>
      <c r="N40" s="165"/>
      <c r="O40" s="196" t="e">
        <f t="shared" si="4"/>
        <v>#DIV/0!</v>
      </c>
      <c r="P40" s="197" t="e">
        <f t="shared" si="5"/>
        <v>#DIV/0!</v>
      </c>
      <c r="Q40" s="185"/>
      <c r="R40" s="173"/>
      <c r="S40" s="173"/>
      <c r="T40" s="199">
        <f t="shared" si="6"/>
        <v>0</v>
      </c>
      <c r="U40" s="199">
        <f t="shared" si="7"/>
        <v>0</v>
      </c>
      <c r="V40" s="199">
        <f t="shared" si="8"/>
        <v>0</v>
      </c>
      <c r="W40" s="173"/>
      <c r="X40" s="205" t="e">
        <f t="shared" si="9"/>
        <v>#DIV/0!</v>
      </c>
      <c r="Y40" s="175"/>
      <c r="Z40" s="201" t="e">
        <f t="shared" si="10"/>
        <v>#DIV/0!</v>
      </c>
      <c r="AA40" s="214" t="e">
        <f t="shared" si="11"/>
        <v>#DIV/0!</v>
      </c>
      <c r="AB40" s="181"/>
      <c r="AC40" s="203">
        <f t="shared" si="12"/>
        <v>0</v>
      </c>
      <c r="AD40" s="204">
        <f t="shared" si="13"/>
        <v>0</v>
      </c>
      <c r="AE40" s="196" t="e">
        <f t="shared" si="14"/>
        <v>#DIV/0!</v>
      </c>
      <c r="AF40" s="208" t="e">
        <f t="shared" si="15"/>
        <v>#DIV/0!</v>
      </c>
      <c r="AG40" s="211" t="e">
        <f t="shared" si="16"/>
        <v>#DIV/0!</v>
      </c>
    </row>
    <row r="41" spans="1:33" s="143" customFormat="1" ht="11.25">
      <c r="A41" s="152">
        <f t="shared" si="18"/>
        <v>26</v>
      </c>
      <c r="B41" s="165"/>
      <c r="C41" s="165"/>
      <c r="D41" s="165"/>
      <c r="E41" s="240"/>
      <c r="F41" s="163"/>
      <c r="G41" s="165"/>
      <c r="H41" s="165"/>
      <c r="I41" s="196">
        <f t="shared" si="0"/>
        <v>0</v>
      </c>
      <c r="J41" s="199">
        <f t="shared" si="1"/>
        <v>0</v>
      </c>
      <c r="K41" s="196">
        <f t="shared" si="2"/>
        <v>0</v>
      </c>
      <c r="L41" s="165"/>
      <c r="M41" s="205" t="e">
        <f t="shared" si="3"/>
        <v>#DIV/0!</v>
      </c>
      <c r="N41" s="165"/>
      <c r="O41" s="196" t="e">
        <f t="shared" si="4"/>
        <v>#DIV/0!</v>
      </c>
      <c r="P41" s="197" t="e">
        <f t="shared" si="5"/>
        <v>#DIV/0!</v>
      </c>
      <c r="Q41" s="185"/>
      <c r="R41" s="173"/>
      <c r="S41" s="173"/>
      <c r="T41" s="199">
        <f t="shared" si="6"/>
        <v>0</v>
      </c>
      <c r="U41" s="199">
        <f t="shared" si="7"/>
        <v>0</v>
      </c>
      <c r="V41" s="199">
        <f t="shared" si="8"/>
        <v>0</v>
      </c>
      <c r="W41" s="173"/>
      <c r="X41" s="205" t="e">
        <f t="shared" si="9"/>
        <v>#DIV/0!</v>
      </c>
      <c r="Y41" s="175"/>
      <c r="Z41" s="201" t="e">
        <f t="shared" si="10"/>
        <v>#DIV/0!</v>
      </c>
      <c r="AA41" s="214" t="e">
        <f t="shared" si="11"/>
        <v>#DIV/0!</v>
      </c>
      <c r="AB41" s="181"/>
      <c r="AC41" s="203">
        <f t="shared" si="12"/>
        <v>0</v>
      </c>
      <c r="AD41" s="204">
        <f t="shared" si="13"/>
        <v>0</v>
      </c>
      <c r="AE41" s="196" t="e">
        <f t="shared" si="14"/>
        <v>#DIV/0!</v>
      </c>
      <c r="AF41" s="208" t="e">
        <f t="shared" si="15"/>
        <v>#DIV/0!</v>
      </c>
      <c r="AG41" s="211" t="e">
        <f t="shared" si="16"/>
        <v>#DIV/0!</v>
      </c>
    </row>
    <row r="42" spans="1:33" s="144" customFormat="1" ht="11.25">
      <c r="A42" s="150">
        <f t="shared" si="18"/>
        <v>27</v>
      </c>
      <c r="B42" s="164"/>
      <c r="C42" s="164"/>
      <c r="D42" s="164"/>
      <c r="E42" s="239"/>
      <c r="F42" s="162"/>
      <c r="G42" s="164"/>
      <c r="H42" s="164"/>
      <c r="I42" s="196">
        <f t="shared" si="0"/>
        <v>0</v>
      </c>
      <c r="J42" s="199">
        <f t="shared" si="1"/>
        <v>0</v>
      </c>
      <c r="K42" s="196">
        <f t="shared" si="2"/>
        <v>0</v>
      </c>
      <c r="L42" s="164"/>
      <c r="M42" s="205" t="e">
        <f t="shared" si="3"/>
        <v>#DIV/0!</v>
      </c>
      <c r="N42" s="164"/>
      <c r="O42" s="196" t="e">
        <f t="shared" si="4"/>
        <v>#DIV/0!</v>
      </c>
      <c r="P42" s="197" t="e">
        <f t="shared" si="5"/>
        <v>#DIV/0!</v>
      </c>
      <c r="Q42" s="184"/>
      <c r="R42" s="172"/>
      <c r="S42" s="172"/>
      <c r="T42" s="199">
        <f t="shared" si="6"/>
        <v>0</v>
      </c>
      <c r="U42" s="199">
        <f t="shared" si="7"/>
        <v>0</v>
      </c>
      <c r="V42" s="199">
        <f t="shared" si="8"/>
        <v>0</v>
      </c>
      <c r="W42" s="172"/>
      <c r="X42" s="205" t="e">
        <f t="shared" si="9"/>
        <v>#DIV/0!</v>
      </c>
      <c r="Y42" s="174"/>
      <c r="Z42" s="201" t="e">
        <f t="shared" si="10"/>
        <v>#DIV/0!</v>
      </c>
      <c r="AA42" s="214" t="e">
        <f t="shared" si="11"/>
        <v>#DIV/0!</v>
      </c>
      <c r="AB42" s="180"/>
      <c r="AC42" s="203">
        <f t="shared" si="12"/>
        <v>0</v>
      </c>
      <c r="AD42" s="204">
        <f t="shared" si="13"/>
        <v>0</v>
      </c>
      <c r="AE42" s="196" t="e">
        <f t="shared" si="14"/>
        <v>#DIV/0!</v>
      </c>
      <c r="AF42" s="208" t="e">
        <f t="shared" si="15"/>
        <v>#DIV/0!</v>
      </c>
      <c r="AG42" s="211" t="e">
        <f t="shared" si="16"/>
        <v>#DIV/0!</v>
      </c>
    </row>
    <row r="43" spans="1:33" s="144" customFormat="1" ht="11.25">
      <c r="A43" s="150">
        <f t="shared" si="18"/>
        <v>28</v>
      </c>
      <c r="B43" s="164"/>
      <c r="C43" s="164"/>
      <c r="D43" s="164"/>
      <c r="E43" s="239"/>
      <c r="F43" s="162"/>
      <c r="G43" s="164"/>
      <c r="H43" s="164"/>
      <c r="I43" s="196">
        <f t="shared" si="0"/>
        <v>0</v>
      </c>
      <c r="J43" s="199">
        <f t="shared" si="1"/>
        <v>0</v>
      </c>
      <c r="K43" s="196">
        <f t="shared" si="2"/>
        <v>0</v>
      </c>
      <c r="L43" s="164"/>
      <c r="M43" s="205" t="e">
        <f t="shared" si="3"/>
        <v>#DIV/0!</v>
      </c>
      <c r="N43" s="164"/>
      <c r="O43" s="196" t="e">
        <f t="shared" si="4"/>
        <v>#DIV/0!</v>
      </c>
      <c r="P43" s="197" t="e">
        <f t="shared" si="5"/>
        <v>#DIV/0!</v>
      </c>
      <c r="Q43" s="184"/>
      <c r="R43" s="172"/>
      <c r="S43" s="172"/>
      <c r="T43" s="199">
        <f t="shared" si="6"/>
        <v>0</v>
      </c>
      <c r="U43" s="199">
        <f t="shared" si="7"/>
        <v>0</v>
      </c>
      <c r="V43" s="199">
        <f t="shared" si="8"/>
        <v>0</v>
      </c>
      <c r="W43" s="172"/>
      <c r="X43" s="205" t="e">
        <f t="shared" si="9"/>
        <v>#DIV/0!</v>
      </c>
      <c r="Y43" s="174"/>
      <c r="Z43" s="201" t="e">
        <f t="shared" si="10"/>
        <v>#DIV/0!</v>
      </c>
      <c r="AA43" s="214" t="e">
        <f t="shared" si="11"/>
        <v>#DIV/0!</v>
      </c>
      <c r="AB43" s="180"/>
      <c r="AC43" s="203">
        <f t="shared" si="12"/>
        <v>0</v>
      </c>
      <c r="AD43" s="204">
        <f t="shared" si="13"/>
        <v>0</v>
      </c>
      <c r="AE43" s="196" t="e">
        <f t="shared" si="14"/>
        <v>#DIV/0!</v>
      </c>
      <c r="AF43" s="208" t="e">
        <f t="shared" si="15"/>
        <v>#DIV/0!</v>
      </c>
      <c r="AG43" s="211" t="e">
        <f t="shared" si="16"/>
        <v>#DIV/0!</v>
      </c>
    </row>
    <row r="44" spans="1:33" s="144" customFormat="1" ht="11.25">
      <c r="A44" s="150">
        <f t="shared" si="18"/>
        <v>29</v>
      </c>
      <c r="B44" s="164"/>
      <c r="C44" s="164"/>
      <c r="D44" s="164"/>
      <c r="E44" s="239"/>
      <c r="F44" s="162"/>
      <c r="G44" s="164"/>
      <c r="H44" s="164"/>
      <c r="I44" s="196">
        <f t="shared" si="0"/>
        <v>0</v>
      </c>
      <c r="J44" s="199">
        <f t="shared" si="1"/>
        <v>0</v>
      </c>
      <c r="K44" s="196">
        <f t="shared" si="2"/>
        <v>0</v>
      </c>
      <c r="L44" s="164"/>
      <c r="M44" s="205" t="e">
        <f t="shared" si="3"/>
        <v>#DIV/0!</v>
      </c>
      <c r="N44" s="164"/>
      <c r="O44" s="196" t="e">
        <f t="shared" si="4"/>
        <v>#DIV/0!</v>
      </c>
      <c r="P44" s="197" t="e">
        <f t="shared" si="5"/>
        <v>#DIV/0!</v>
      </c>
      <c r="Q44" s="184"/>
      <c r="R44" s="172"/>
      <c r="S44" s="172"/>
      <c r="T44" s="199">
        <f t="shared" si="6"/>
        <v>0</v>
      </c>
      <c r="U44" s="199">
        <f t="shared" si="7"/>
        <v>0</v>
      </c>
      <c r="V44" s="199">
        <f t="shared" si="8"/>
        <v>0</v>
      </c>
      <c r="W44" s="172"/>
      <c r="X44" s="205" t="e">
        <f t="shared" si="9"/>
        <v>#DIV/0!</v>
      </c>
      <c r="Y44" s="174"/>
      <c r="Z44" s="201" t="e">
        <f t="shared" si="10"/>
        <v>#DIV/0!</v>
      </c>
      <c r="AA44" s="214" t="e">
        <f t="shared" si="11"/>
        <v>#DIV/0!</v>
      </c>
      <c r="AB44" s="180"/>
      <c r="AC44" s="203">
        <f t="shared" si="12"/>
        <v>0</v>
      </c>
      <c r="AD44" s="204">
        <f t="shared" si="13"/>
        <v>0</v>
      </c>
      <c r="AE44" s="196" t="e">
        <f t="shared" si="14"/>
        <v>#DIV/0!</v>
      </c>
      <c r="AF44" s="208" t="e">
        <f t="shared" si="15"/>
        <v>#DIV/0!</v>
      </c>
      <c r="AG44" s="211" t="e">
        <f t="shared" si="16"/>
        <v>#DIV/0!</v>
      </c>
    </row>
    <row r="45" spans="1:33" s="144" customFormat="1" ht="11.25">
      <c r="A45" s="150">
        <f t="shared" si="18"/>
        <v>30</v>
      </c>
      <c r="B45" s="164"/>
      <c r="C45" s="164"/>
      <c r="D45" s="164"/>
      <c r="E45" s="239"/>
      <c r="F45" s="162"/>
      <c r="G45" s="164"/>
      <c r="H45" s="164"/>
      <c r="I45" s="196">
        <f t="shared" si="0"/>
        <v>0</v>
      </c>
      <c r="J45" s="199">
        <f t="shared" si="1"/>
        <v>0</v>
      </c>
      <c r="K45" s="196">
        <f t="shared" si="2"/>
        <v>0</v>
      </c>
      <c r="L45" s="164"/>
      <c r="M45" s="205" t="e">
        <f t="shared" si="3"/>
        <v>#DIV/0!</v>
      </c>
      <c r="N45" s="164"/>
      <c r="O45" s="196" t="e">
        <f t="shared" si="4"/>
        <v>#DIV/0!</v>
      </c>
      <c r="P45" s="197" t="e">
        <f t="shared" si="5"/>
        <v>#DIV/0!</v>
      </c>
      <c r="Q45" s="184"/>
      <c r="R45" s="172"/>
      <c r="S45" s="172"/>
      <c r="T45" s="199">
        <f t="shared" si="6"/>
        <v>0</v>
      </c>
      <c r="U45" s="199">
        <f t="shared" si="7"/>
        <v>0</v>
      </c>
      <c r="V45" s="199">
        <f t="shared" si="8"/>
        <v>0</v>
      </c>
      <c r="W45" s="172"/>
      <c r="X45" s="205" t="e">
        <f t="shared" si="9"/>
        <v>#DIV/0!</v>
      </c>
      <c r="Y45" s="174"/>
      <c r="Z45" s="201" t="e">
        <f t="shared" si="10"/>
        <v>#DIV/0!</v>
      </c>
      <c r="AA45" s="214" t="e">
        <f t="shared" si="11"/>
        <v>#DIV/0!</v>
      </c>
      <c r="AB45" s="180"/>
      <c r="AC45" s="203">
        <f t="shared" si="12"/>
        <v>0</v>
      </c>
      <c r="AD45" s="204">
        <f t="shared" si="13"/>
        <v>0</v>
      </c>
      <c r="AE45" s="196" t="e">
        <f t="shared" si="14"/>
        <v>#DIV/0!</v>
      </c>
      <c r="AF45" s="208" t="e">
        <f t="shared" si="15"/>
        <v>#DIV/0!</v>
      </c>
      <c r="AG45" s="211" t="e">
        <f t="shared" si="16"/>
        <v>#DIV/0!</v>
      </c>
    </row>
    <row r="46" spans="1:33" s="144" customFormat="1" ht="11.25">
      <c r="A46" s="150">
        <f t="shared" si="18"/>
        <v>31</v>
      </c>
      <c r="B46" s="164"/>
      <c r="C46" s="164"/>
      <c r="D46" s="164"/>
      <c r="E46" s="239"/>
      <c r="F46" s="162"/>
      <c r="G46" s="164"/>
      <c r="H46" s="164"/>
      <c r="I46" s="196">
        <f t="shared" si="0"/>
        <v>0</v>
      </c>
      <c r="J46" s="199">
        <f t="shared" si="1"/>
        <v>0</v>
      </c>
      <c r="K46" s="196">
        <f t="shared" si="2"/>
        <v>0</v>
      </c>
      <c r="L46" s="164"/>
      <c r="M46" s="205" t="e">
        <f t="shared" si="3"/>
        <v>#DIV/0!</v>
      </c>
      <c r="N46" s="164"/>
      <c r="O46" s="196" t="e">
        <f t="shared" si="4"/>
        <v>#DIV/0!</v>
      </c>
      <c r="P46" s="197" t="e">
        <f t="shared" si="5"/>
        <v>#DIV/0!</v>
      </c>
      <c r="Q46" s="184"/>
      <c r="R46" s="172"/>
      <c r="S46" s="172"/>
      <c r="T46" s="199">
        <f t="shared" si="6"/>
        <v>0</v>
      </c>
      <c r="U46" s="199">
        <f t="shared" si="7"/>
        <v>0</v>
      </c>
      <c r="V46" s="199">
        <f t="shared" si="8"/>
        <v>0</v>
      </c>
      <c r="W46" s="172"/>
      <c r="X46" s="205" t="e">
        <f t="shared" si="9"/>
        <v>#DIV/0!</v>
      </c>
      <c r="Y46" s="174"/>
      <c r="Z46" s="201" t="e">
        <f t="shared" si="10"/>
        <v>#DIV/0!</v>
      </c>
      <c r="AA46" s="214" t="e">
        <f t="shared" si="11"/>
        <v>#DIV/0!</v>
      </c>
      <c r="AB46" s="180"/>
      <c r="AC46" s="203">
        <f t="shared" si="12"/>
        <v>0</v>
      </c>
      <c r="AD46" s="204">
        <f t="shared" si="13"/>
        <v>0</v>
      </c>
      <c r="AE46" s="196" t="e">
        <f t="shared" si="14"/>
        <v>#DIV/0!</v>
      </c>
      <c r="AF46" s="208" t="e">
        <f t="shared" si="15"/>
        <v>#DIV/0!</v>
      </c>
      <c r="AG46" s="211" t="e">
        <f t="shared" si="16"/>
        <v>#DIV/0!</v>
      </c>
    </row>
    <row r="47" spans="1:33" s="144" customFormat="1" ht="11.25">
      <c r="A47" s="150">
        <f t="shared" si="18"/>
        <v>32</v>
      </c>
      <c r="B47" s="164"/>
      <c r="C47" s="164"/>
      <c r="D47" s="164"/>
      <c r="E47" s="239"/>
      <c r="F47" s="162"/>
      <c r="G47" s="164"/>
      <c r="H47" s="164"/>
      <c r="I47" s="196">
        <f t="shared" si="0"/>
        <v>0</v>
      </c>
      <c r="J47" s="199">
        <f t="shared" si="1"/>
        <v>0</v>
      </c>
      <c r="K47" s="196">
        <f t="shared" si="2"/>
        <v>0</v>
      </c>
      <c r="L47" s="164"/>
      <c r="M47" s="205" t="e">
        <f t="shared" si="3"/>
        <v>#DIV/0!</v>
      </c>
      <c r="N47" s="164"/>
      <c r="O47" s="196" t="e">
        <f t="shared" si="4"/>
        <v>#DIV/0!</v>
      </c>
      <c r="P47" s="197" t="e">
        <f t="shared" si="5"/>
        <v>#DIV/0!</v>
      </c>
      <c r="Q47" s="184"/>
      <c r="R47" s="172"/>
      <c r="S47" s="172"/>
      <c r="T47" s="199">
        <f t="shared" si="6"/>
        <v>0</v>
      </c>
      <c r="U47" s="199">
        <f t="shared" si="7"/>
        <v>0</v>
      </c>
      <c r="V47" s="199">
        <f t="shared" si="8"/>
        <v>0</v>
      </c>
      <c r="W47" s="172"/>
      <c r="X47" s="205" t="e">
        <f t="shared" si="9"/>
        <v>#DIV/0!</v>
      </c>
      <c r="Y47" s="174"/>
      <c r="Z47" s="201" t="e">
        <f t="shared" si="10"/>
        <v>#DIV/0!</v>
      </c>
      <c r="AA47" s="214" t="e">
        <f t="shared" si="11"/>
        <v>#DIV/0!</v>
      </c>
      <c r="AB47" s="180"/>
      <c r="AC47" s="203">
        <f t="shared" si="12"/>
        <v>0</v>
      </c>
      <c r="AD47" s="204">
        <f t="shared" si="13"/>
        <v>0</v>
      </c>
      <c r="AE47" s="196" t="e">
        <f t="shared" si="14"/>
        <v>#DIV/0!</v>
      </c>
      <c r="AF47" s="208" t="e">
        <f t="shared" si="15"/>
        <v>#DIV/0!</v>
      </c>
      <c r="AG47" s="211" t="e">
        <f t="shared" si="16"/>
        <v>#DIV/0!</v>
      </c>
    </row>
    <row r="48" spans="1:33" s="144" customFormat="1" ht="11.25">
      <c r="A48" s="150">
        <f t="shared" si="18"/>
        <v>33</v>
      </c>
      <c r="B48" s="164"/>
      <c r="C48" s="164"/>
      <c r="D48" s="164"/>
      <c r="E48" s="239"/>
      <c r="F48" s="162"/>
      <c r="G48" s="164"/>
      <c r="H48" s="164"/>
      <c r="I48" s="196">
        <f t="shared" si="0"/>
        <v>0</v>
      </c>
      <c r="J48" s="199">
        <f t="shared" si="1"/>
        <v>0</v>
      </c>
      <c r="K48" s="196">
        <f t="shared" si="2"/>
        <v>0</v>
      </c>
      <c r="L48" s="164"/>
      <c r="M48" s="205" t="e">
        <f t="shared" si="3"/>
        <v>#DIV/0!</v>
      </c>
      <c r="N48" s="164"/>
      <c r="O48" s="196" t="e">
        <f t="shared" si="4"/>
        <v>#DIV/0!</v>
      </c>
      <c r="P48" s="197" t="e">
        <f t="shared" si="5"/>
        <v>#DIV/0!</v>
      </c>
      <c r="Q48" s="184"/>
      <c r="R48" s="172"/>
      <c r="S48" s="172"/>
      <c r="T48" s="199">
        <f t="shared" si="6"/>
        <v>0</v>
      </c>
      <c r="U48" s="199">
        <f t="shared" si="7"/>
        <v>0</v>
      </c>
      <c r="V48" s="199">
        <f t="shared" si="8"/>
        <v>0</v>
      </c>
      <c r="W48" s="172"/>
      <c r="X48" s="205" t="e">
        <f t="shared" si="9"/>
        <v>#DIV/0!</v>
      </c>
      <c r="Y48" s="174"/>
      <c r="Z48" s="201" t="e">
        <f t="shared" si="10"/>
        <v>#DIV/0!</v>
      </c>
      <c r="AA48" s="214" t="e">
        <f t="shared" si="11"/>
        <v>#DIV/0!</v>
      </c>
      <c r="AB48" s="180"/>
      <c r="AC48" s="203">
        <f t="shared" si="12"/>
        <v>0</v>
      </c>
      <c r="AD48" s="204">
        <f t="shared" si="13"/>
        <v>0</v>
      </c>
      <c r="AE48" s="196" t="e">
        <f t="shared" si="14"/>
        <v>#DIV/0!</v>
      </c>
      <c r="AF48" s="208" t="e">
        <f t="shared" si="15"/>
        <v>#DIV/0!</v>
      </c>
      <c r="AG48" s="211" t="e">
        <f t="shared" si="16"/>
        <v>#DIV/0!</v>
      </c>
    </row>
    <row r="49" spans="1:33" s="144" customFormat="1" ht="11.25">
      <c r="A49" s="150">
        <f t="shared" si="18"/>
        <v>34</v>
      </c>
      <c r="B49" s="164"/>
      <c r="C49" s="164"/>
      <c r="D49" s="164"/>
      <c r="E49" s="239"/>
      <c r="F49" s="162"/>
      <c r="G49" s="164"/>
      <c r="H49" s="164"/>
      <c r="I49" s="196">
        <f t="shared" si="0"/>
        <v>0</v>
      </c>
      <c r="J49" s="199">
        <f t="shared" si="1"/>
        <v>0</v>
      </c>
      <c r="K49" s="196">
        <f t="shared" si="2"/>
        <v>0</v>
      </c>
      <c r="L49" s="164"/>
      <c r="M49" s="205" t="e">
        <f t="shared" si="3"/>
        <v>#DIV/0!</v>
      </c>
      <c r="N49" s="164"/>
      <c r="O49" s="196" t="e">
        <f t="shared" si="4"/>
        <v>#DIV/0!</v>
      </c>
      <c r="P49" s="197" t="e">
        <f t="shared" si="5"/>
        <v>#DIV/0!</v>
      </c>
      <c r="Q49" s="184"/>
      <c r="R49" s="172"/>
      <c r="S49" s="172"/>
      <c r="T49" s="199">
        <f t="shared" si="6"/>
        <v>0</v>
      </c>
      <c r="U49" s="199">
        <f t="shared" si="7"/>
        <v>0</v>
      </c>
      <c r="V49" s="199">
        <f t="shared" si="8"/>
        <v>0</v>
      </c>
      <c r="W49" s="172"/>
      <c r="X49" s="205" t="e">
        <f t="shared" si="9"/>
        <v>#DIV/0!</v>
      </c>
      <c r="Y49" s="174"/>
      <c r="Z49" s="201" t="e">
        <f t="shared" si="10"/>
        <v>#DIV/0!</v>
      </c>
      <c r="AA49" s="214" t="e">
        <f t="shared" si="11"/>
        <v>#DIV/0!</v>
      </c>
      <c r="AB49" s="180"/>
      <c r="AC49" s="203">
        <f t="shared" si="12"/>
        <v>0</v>
      </c>
      <c r="AD49" s="204">
        <f t="shared" si="13"/>
        <v>0</v>
      </c>
      <c r="AE49" s="196" t="e">
        <f t="shared" si="14"/>
        <v>#DIV/0!</v>
      </c>
      <c r="AF49" s="208" t="e">
        <f t="shared" si="15"/>
        <v>#DIV/0!</v>
      </c>
      <c r="AG49" s="211" t="e">
        <f t="shared" si="16"/>
        <v>#DIV/0!</v>
      </c>
    </row>
    <row r="50" spans="1:33" s="144" customFormat="1" ht="11.25">
      <c r="A50" s="150">
        <f>A49+1</f>
        <v>35</v>
      </c>
      <c r="B50" s="164"/>
      <c r="C50" s="164"/>
      <c r="D50" s="164"/>
      <c r="E50" s="239"/>
      <c r="F50" s="162"/>
      <c r="G50" s="164"/>
      <c r="H50" s="164"/>
      <c r="I50" s="196">
        <f t="shared" si="0"/>
        <v>0</v>
      </c>
      <c r="J50" s="199">
        <f t="shared" si="1"/>
        <v>0</v>
      </c>
      <c r="K50" s="196">
        <f t="shared" si="2"/>
        <v>0</v>
      </c>
      <c r="L50" s="164"/>
      <c r="M50" s="205" t="e">
        <f t="shared" si="3"/>
        <v>#DIV/0!</v>
      </c>
      <c r="N50" s="164"/>
      <c r="O50" s="196" t="e">
        <f t="shared" si="4"/>
        <v>#DIV/0!</v>
      </c>
      <c r="P50" s="197" t="e">
        <f t="shared" si="5"/>
        <v>#DIV/0!</v>
      </c>
      <c r="Q50" s="184"/>
      <c r="R50" s="172"/>
      <c r="S50" s="172"/>
      <c r="T50" s="199">
        <f t="shared" si="6"/>
        <v>0</v>
      </c>
      <c r="U50" s="199">
        <f t="shared" si="7"/>
        <v>0</v>
      </c>
      <c r="V50" s="199">
        <f t="shared" si="8"/>
        <v>0</v>
      </c>
      <c r="W50" s="172"/>
      <c r="X50" s="205" t="e">
        <f t="shared" si="9"/>
        <v>#DIV/0!</v>
      </c>
      <c r="Y50" s="174"/>
      <c r="Z50" s="201" t="e">
        <f t="shared" si="10"/>
        <v>#DIV/0!</v>
      </c>
      <c r="AA50" s="214" t="e">
        <f t="shared" si="11"/>
        <v>#DIV/0!</v>
      </c>
      <c r="AB50" s="180"/>
      <c r="AC50" s="203">
        <f t="shared" si="12"/>
        <v>0</v>
      </c>
      <c r="AD50" s="204">
        <f t="shared" si="13"/>
        <v>0</v>
      </c>
      <c r="AE50" s="196" t="e">
        <f t="shared" si="14"/>
        <v>#DIV/0!</v>
      </c>
      <c r="AF50" s="208" t="e">
        <f t="shared" si="15"/>
        <v>#DIV/0!</v>
      </c>
      <c r="AG50" s="211" t="e">
        <f t="shared" si="16"/>
        <v>#DIV/0!</v>
      </c>
    </row>
    <row r="51" spans="1:33" s="143" customFormat="1" ht="11.25">
      <c r="A51" s="152">
        <f>A50+1</f>
        <v>36</v>
      </c>
      <c r="B51" s="165"/>
      <c r="C51" s="165"/>
      <c r="D51" s="165"/>
      <c r="E51" s="240"/>
      <c r="F51" s="163"/>
      <c r="G51" s="165"/>
      <c r="H51" s="165"/>
      <c r="I51" s="196">
        <f t="shared" si="0"/>
        <v>0</v>
      </c>
      <c r="J51" s="199">
        <f t="shared" si="1"/>
        <v>0</v>
      </c>
      <c r="K51" s="196">
        <f t="shared" si="2"/>
        <v>0</v>
      </c>
      <c r="L51" s="165"/>
      <c r="M51" s="205" t="e">
        <f t="shared" si="3"/>
        <v>#DIV/0!</v>
      </c>
      <c r="N51" s="165"/>
      <c r="O51" s="196" t="e">
        <f t="shared" si="4"/>
        <v>#DIV/0!</v>
      </c>
      <c r="P51" s="197" t="e">
        <f t="shared" si="5"/>
        <v>#DIV/0!</v>
      </c>
      <c r="Q51" s="185"/>
      <c r="R51" s="173"/>
      <c r="S51" s="173"/>
      <c r="T51" s="199">
        <f t="shared" si="6"/>
        <v>0</v>
      </c>
      <c r="U51" s="199">
        <f t="shared" si="7"/>
        <v>0</v>
      </c>
      <c r="V51" s="199">
        <f t="shared" si="8"/>
        <v>0</v>
      </c>
      <c r="W51" s="173"/>
      <c r="X51" s="205" t="e">
        <f t="shared" si="9"/>
        <v>#DIV/0!</v>
      </c>
      <c r="Y51" s="175"/>
      <c r="Z51" s="201" t="e">
        <f t="shared" si="10"/>
        <v>#DIV/0!</v>
      </c>
      <c r="AA51" s="214" t="e">
        <f t="shared" si="11"/>
        <v>#DIV/0!</v>
      </c>
      <c r="AB51" s="181"/>
      <c r="AC51" s="203">
        <f t="shared" si="12"/>
        <v>0</v>
      </c>
      <c r="AD51" s="204">
        <f t="shared" si="13"/>
        <v>0</v>
      </c>
      <c r="AE51" s="196" t="e">
        <f t="shared" si="14"/>
        <v>#DIV/0!</v>
      </c>
      <c r="AF51" s="208" t="e">
        <f t="shared" si="15"/>
        <v>#DIV/0!</v>
      </c>
      <c r="AG51" s="211" t="e">
        <f t="shared" si="16"/>
        <v>#DIV/0!</v>
      </c>
    </row>
    <row r="52" spans="1:33" s="144" customFormat="1" ht="11.25">
      <c r="A52" s="150">
        <f>A51+1</f>
        <v>37</v>
      </c>
      <c r="B52" s="164"/>
      <c r="C52" s="164"/>
      <c r="D52" s="164"/>
      <c r="E52" s="239"/>
      <c r="F52" s="162"/>
      <c r="G52" s="164"/>
      <c r="H52" s="164"/>
      <c r="I52" s="196">
        <f t="shared" si="0"/>
        <v>0</v>
      </c>
      <c r="J52" s="199">
        <f t="shared" si="1"/>
        <v>0</v>
      </c>
      <c r="K52" s="196">
        <f t="shared" si="2"/>
        <v>0</v>
      </c>
      <c r="L52" s="164"/>
      <c r="M52" s="205" t="e">
        <f t="shared" si="3"/>
        <v>#DIV/0!</v>
      </c>
      <c r="N52" s="164"/>
      <c r="O52" s="196" t="e">
        <f t="shared" si="4"/>
        <v>#DIV/0!</v>
      </c>
      <c r="P52" s="197" t="e">
        <f t="shared" si="5"/>
        <v>#DIV/0!</v>
      </c>
      <c r="Q52" s="184"/>
      <c r="R52" s="172"/>
      <c r="S52" s="172"/>
      <c r="T52" s="199">
        <f t="shared" si="6"/>
        <v>0</v>
      </c>
      <c r="U52" s="199">
        <f t="shared" si="7"/>
        <v>0</v>
      </c>
      <c r="V52" s="199">
        <f t="shared" si="8"/>
        <v>0</v>
      </c>
      <c r="W52" s="172"/>
      <c r="X52" s="205" t="e">
        <f t="shared" si="9"/>
        <v>#DIV/0!</v>
      </c>
      <c r="Y52" s="174"/>
      <c r="Z52" s="201" t="e">
        <f t="shared" si="10"/>
        <v>#DIV/0!</v>
      </c>
      <c r="AA52" s="214" t="e">
        <f t="shared" si="11"/>
        <v>#DIV/0!</v>
      </c>
      <c r="AB52" s="180"/>
      <c r="AC52" s="203">
        <f t="shared" si="12"/>
        <v>0</v>
      </c>
      <c r="AD52" s="204">
        <f t="shared" si="13"/>
        <v>0</v>
      </c>
      <c r="AE52" s="196" t="e">
        <f t="shared" si="14"/>
        <v>#DIV/0!</v>
      </c>
      <c r="AF52" s="208" t="e">
        <f t="shared" si="15"/>
        <v>#DIV/0!</v>
      </c>
      <c r="AG52" s="211" t="e">
        <f t="shared" si="16"/>
        <v>#DIV/0!</v>
      </c>
    </row>
    <row r="53" spans="1:33" s="144" customFormat="1" ht="11.25">
      <c r="A53" s="150">
        <f t="shared" si="18"/>
        <v>38</v>
      </c>
      <c r="B53" s="164"/>
      <c r="C53" s="164"/>
      <c r="D53" s="164"/>
      <c r="E53" s="239"/>
      <c r="F53" s="162"/>
      <c r="G53" s="164"/>
      <c r="H53" s="164"/>
      <c r="I53" s="196">
        <f t="shared" si="0"/>
        <v>0</v>
      </c>
      <c r="J53" s="199">
        <f t="shared" si="1"/>
        <v>0</v>
      </c>
      <c r="K53" s="196">
        <f t="shared" si="2"/>
        <v>0</v>
      </c>
      <c r="L53" s="164"/>
      <c r="M53" s="205" t="e">
        <f t="shared" si="3"/>
        <v>#DIV/0!</v>
      </c>
      <c r="N53" s="164"/>
      <c r="O53" s="196" t="e">
        <f t="shared" si="4"/>
        <v>#DIV/0!</v>
      </c>
      <c r="P53" s="197" t="e">
        <f t="shared" si="5"/>
        <v>#DIV/0!</v>
      </c>
      <c r="Q53" s="184"/>
      <c r="R53" s="172"/>
      <c r="S53" s="172"/>
      <c r="T53" s="199">
        <f t="shared" si="6"/>
        <v>0</v>
      </c>
      <c r="U53" s="199">
        <f t="shared" si="7"/>
        <v>0</v>
      </c>
      <c r="V53" s="199">
        <f t="shared" si="8"/>
        <v>0</v>
      </c>
      <c r="W53" s="172"/>
      <c r="X53" s="205" t="e">
        <f t="shared" si="9"/>
        <v>#DIV/0!</v>
      </c>
      <c r="Y53" s="174"/>
      <c r="Z53" s="201" t="e">
        <f t="shared" si="10"/>
        <v>#DIV/0!</v>
      </c>
      <c r="AA53" s="214" t="e">
        <f t="shared" si="11"/>
        <v>#DIV/0!</v>
      </c>
      <c r="AB53" s="180"/>
      <c r="AC53" s="203">
        <f t="shared" si="12"/>
        <v>0</v>
      </c>
      <c r="AD53" s="204">
        <f t="shared" si="13"/>
        <v>0</v>
      </c>
      <c r="AE53" s="196" t="e">
        <f t="shared" si="14"/>
        <v>#DIV/0!</v>
      </c>
      <c r="AF53" s="208" t="e">
        <f t="shared" si="15"/>
        <v>#DIV/0!</v>
      </c>
      <c r="AG53" s="211" t="e">
        <f t="shared" si="16"/>
        <v>#DIV/0!</v>
      </c>
    </row>
    <row r="54" spans="1:33" s="144" customFormat="1" ht="11.25">
      <c r="A54" s="150">
        <f t="shared" si="18"/>
        <v>39</v>
      </c>
      <c r="B54" s="164"/>
      <c r="C54" s="164"/>
      <c r="D54" s="164"/>
      <c r="E54" s="239"/>
      <c r="F54" s="162"/>
      <c r="G54" s="164"/>
      <c r="H54" s="164"/>
      <c r="I54" s="196">
        <f t="shared" si="0"/>
        <v>0</v>
      </c>
      <c r="J54" s="199">
        <f t="shared" si="1"/>
        <v>0</v>
      </c>
      <c r="K54" s="196">
        <f t="shared" si="2"/>
        <v>0</v>
      </c>
      <c r="L54" s="164"/>
      <c r="M54" s="205" t="e">
        <f t="shared" si="3"/>
        <v>#DIV/0!</v>
      </c>
      <c r="N54" s="164"/>
      <c r="O54" s="196" t="e">
        <f t="shared" si="4"/>
        <v>#DIV/0!</v>
      </c>
      <c r="P54" s="197" t="e">
        <f t="shared" si="5"/>
        <v>#DIV/0!</v>
      </c>
      <c r="Q54" s="184"/>
      <c r="R54" s="172"/>
      <c r="S54" s="172"/>
      <c r="T54" s="199">
        <f t="shared" si="6"/>
        <v>0</v>
      </c>
      <c r="U54" s="199">
        <f t="shared" si="7"/>
        <v>0</v>
      </c>
      <c r="V54" s="199">
        <f t="shared" si="8"/>
        <v>0</v>
      </c>
      <c r="W54" s="172"/>
      <c r="X54" s="205" t="e">
        <f t="shared" si="9"/>
        <v>#DIV/0!</v>
      </c>
      <c r="Y54" s="174"/>
      <c r="Z54" s="201" t="e">
        <f t="shared" si="10"/>
        <v>#DIV/0!</v>
      </c>
      <c r="AA54" s="214" t="e">
        <f t="shared" si="11"/>
        <v>#DIV/0!</v>
      </c>
      <c r="AB54" s="180"/>
      <c r="AC54" s="203">
        <f t="shared" si="12"/>
        <v>0</v>
      </c>
      <c r="AD54" s="204">
        <f t="shared" si="13"/>
        <v>0</v>
      </c>
      <c r="AE54" s="196" t="e">
        <f t="shared" si="14"/>
        <v>#DIV/0!</v>
      </c>
      <c r="AF54" s="208" t="e">
        <f t="shared" si="15"/>
        <v>#DIV/0!</v>
      </c>
      <c r="AG54" s="211" t="e">
        <f t="shared" si="16"/>
        <v>#DIV/0!</v>
      </c>
    </row>
    <row r="55" spans="1:33" s="144" customFormat="1" ht="11.25">
      <c r="A55" s="150">
        <f t="shared" si="18"/>
        <v>40</v>
      </c>
      <c r="B55" s="164"/>
      <c r="C55" s="164"/>
      <c r="D55" s="164"/>
      <c r="E55" s="239"/>
      <c r="F55" s="162"/>
      <c r="G55" s="164"/>
      <c r="H55" s="164"/>
      <c r="I55" s="196">
        <f t="shared" si="0"/>
        <v>0</v>
      </c>
      <c r="J55" s="199">
        <f t="shared" si="1"/>
        <v>0</v>
      </c>
      <c r="K55" s="196">
        <f t="shared" si="2"/>
        <v>0</v>
      </c>
      <c r="L55" s="164"/>
      <c r="M55" s="205" t="e">
        <f t="shared" si="3"/>
        <v>#DIV/0!</v>
      </c>
      <c r="N55" s="164"/>
      <c r="O55" s="196" t="e">
        <f t="shared" si="4"/>
        <v>#DIV/0!</v>
      </c>
      <c r="P55" s="197" t="e">
        <f t="shared" si="5"/>
        <v>#DIV/0!</v>
      </c>
      <c r="Q55" s="184"/>
      <c r="R55" s="172"/>
      <c r="S55" s="172"/>
      <c r="T55" s="199">
        <f t="shared" si="6"/>
        <v>0</v>
      </c>
      <c r="U55" s="199">
        <f t="shared" si="7"/>
        <v>0</v>
      </c>
      <c r="V55" s="199">
        <f t="shared" si="8"/>
        <v>0</v>
      </c>
      <c r="W55" s="172"/>
      <c r="X55" s="205" t="e">
        <f t="shared" si="9"/>
        <v>#DIV/0!</v>
      </c>
      <c r="Y55" s="174"/>
      <c r="Z55" s="201" t="e">
        <f t="shared" si="10"/>
        <v>#DIV/0!</v>
      </c>
      <c r="AA55" s="214" t="e">
        <f t="shared" si="11"/>
        <v>#DIV/0!</v>
      </c>
      <c r="AB55" s="180"/>
      <c r="AC55" s="203">
        <f t="shared" si="12"/>
        <v>0</v>
      </c>
      <c r="AD55" s="204">
        <f t="shared" si="13"/>
        <v>0</v>
      </c>
      <c r="AE55" s="196" t="e">
        <f t="shared" si="14"/>
        <v>#DIV/0!</v>
      </c>
      <c r="AF55" s="208" t="e">
        <f t="shared" si="15"/>
        <v>#DIV/0!</v>
      </c>
      <c r="AG55" s="211" t="e">
        <f t="shared" si="16"/>
        <v>#DIV/0!</v>
      </c>
    </row>
    <row r="56" spans="1:33" s="144" customFormat="1" ht="11.25">
      <c r="A56" s="150">
        <f t="shared" si="18"/>
        <v>41</v>
      </c>
      <c r="B56" s="164"/>
      <c r="C56" s="164"/>
      <c r="D56" s="164"/>
      <c r="E56" s="239"/>
      <c r="F56" s="162"/>
      <c r="G56" s="164"/>
      <c r="H56" s="164"/>
      <c r="I56" s="196">
        <f t="shared" si="0"/>
        <v>0</v>
      </c>
      <c r="J56" s="199">
        <f t="shared" si="1"/>
        <v>0</v>
      </c>
      <c r="K56" s="196">
        <f t="shared" si="2"/>
        <v>0</v>
      </c>
      <c r="L56" s="164"/>
      <c r="M56" s="205" t="e">
        <f t="shared" si="3"/>
        <v>#DIV/0!</v>
      </c>
      <c r="N56" s="164"/>
      <c r="O56" s="196" t="e">
        <f t="shared" si="4"/>
        <v>#DIV/0!</v>
      </c>
      <c r="P56" s="197" t="e">
        <f t="shared" si="5"/>
        <v>#DIV/0!</v>
      </c>
      <c r="Q56" s="184"/>
      <c r="R56" s="172"/>
      <c r="S56" s="172"/>
      <c r="T56" s="199">
        <f t="shared" si="6"/>
        <v>0</v>
      </c>
      <c r="U56" s="199">
        <f t="shared" si="7"/>
        <v>0</v>
      </c>
      <c r="V56" s="199">
        <f t="shared" si="8"/>
        <v>0</v>
      </c>
      <c r="W56" s="172"/>
      <c r="X56" s="205" t="e">
        <f t="shared" si="9"/>
        <v>#DIV/0!</v>
      </c>
      <c r="Y56" s="174"/>
      <c r="Z56" s="201" t="e">
        <f t="shared" si="10"/>
        <v>#DIV/0!</v>
      </c>
      <c r="AA56" s="214" t="e">
        <f t="shared" si="11"/>
        <v>#DIV/0!</v>
      </c>
      <c r="AB56" s="180"/>
      <c r="AC56" s="203">
        <f t="shared" si="12"/>
        <v>0</v>
      </c>
      <c r="AD56" s="204">
        <f t="shared" si="13"/>
        <v>0</v>
      </c>
      <c r="AE56" s="196" t="e">
        <f t="shared" si="14"/>
        <v>#DIV/0!</v>
      </c>
      <c r="AF56" s="208" t="e">
        <f t="shared" si="15"/>
        <v>#DIV/0!</v>
      </c>
      <c r="AG56" s="211" t="e">
        <f t="shared" si="16"/>
        <v>#DIV/0!</v>
      </c>
    </row>
    <row r="57" spans="1:33" s="144" customFormat="1" ht="11.25">
      <c r="A57" s="150">
        <f t="shared" si="18"/>
        <v>42</v>
      </c>
      <c r="B57" s="164"/>
      <c r="C57" s="164"/>
      <c r="D57" s="164"/>
      <c r="E57" s="239"/>
      <c r="F57" s="162"/>
      <c r="G57" s="164"/>
      <c r="H57" s="164"/>
      <c r="I57" s="196">
        <f t="shared" si="0"/>
        <v>0</v>
      </c>
      <c r="J57" s="199">
        <f t="shared" si="1"/>
        <v>0</v>
      </c>
      <c r="K57" s="196">
        <f t="shared" si="2"/>
        <v>0</v>
      </c>
      <c r="L57" s="164"/>
      <c r="M57" s="205" t="e">
        <f t="shared" si="3"/>
        <v>#DIV/0!</v>
      </c>
      <c r="N57" s="164"/>
      <c r="O57" s="196" t="e">
        <f t="shared" si="4"/>
        <v>#DIV/0!</v>
      </c>
      <c r="P57" s="197" t="e">
        <f t="shared" si="5"/>
        <v>#DIV/0!</v>
      </c>
      <c r="Q57" s="184"/>
      <c r="R57" s="172"/>
      <c r="S57" s="172"/>
      <c r="T57" s="199">
        <f t="shared" si="6"/>
        <v>0</v>
      </c>
      <c r="U57" s="199">
        <f t="shared" si="7"/>
        <v>0</v>
      </c>
      <c r="V57" s="199">
        <f t="shared" si="8"/>
        <v>0</v>
      </c>
      <c r="W57" s="172"/>
      <c r="X57" s="205" t="e">
        <f t="shared" si="9"/>
        <v>#DIV/0!</v>
      </c>
      <c r="Y57" s="174"/>
      <c r="Z57" s="201" t="e">
        <f t="shared" si="10"/>
        <v>#DIV/0!</v>
      </c>
      <c r="AA57" s="214" t="e">
        <f t="shared" si="11"/>
        <v>#DIV/0!</v>
      </c>
      <c r="AB57" s="180"/>
      <c r="AC57" s="203">
        <f t="shared" si="12"/>
        <v>0</v>
      </c>
      <c r="AD57" s="204">
        <f t="shared" si="13"/>
        <v>0</v>
      </c>
      <c r="AE57" s="196" t="e">
        <f t="shared" si="14"/>
        <v>#DIV/0!</v>
      </c>
      <c r="AF57" s="208" t="e">
        <f t="shared" si="15"/>
        <v>#DIV/0!</v>
      </c>
      <c r="AG57" s="211" t="e">
        <f t="shared" si="16"/>
        <v>#DIV/0!</v>
      </c>
    </row>
    <row r="58" spans="1:33" s="144" customFormat="1" ht="11.25">
      <c r="A58" s="150">
        <f t="shared" si="18"/>
        <v>43</v>
      </c>
      <c r="B58" s="164"/>
      <c r="C58" s="164"/>
      <c r="D58" s="164"/>
      <c r="E58" s="239"/>
      <c r="F58" s="162"/>
      <c r="G58" s="164"/>
      <c r="H58" s="164"/>
      <c r="I58" s="196">
        <f t="shared" si="0"/>
        <v>0</v>
      </c>
      <c r="J58" s="199">
        <f t="shared" si="1"/>
        <v>0</v>
      </c>
      <c r="K58" s="196">
        <f t="shared" si="2"/>
        <v>0</v>
      </c>
      <c r="L58" s="164"/>
      <c r="M58" s="205" t="e">
        <f t="shared" si="3"/>
        <v>#DIV/0!</v>
      </c>
      <c r="N58" s="164"/>
      <c r="O58" s="196" t="e">
        <f t="shared" si="4"/>
        <v>#DIV/0!</v>
      </c>
      <c r="P58" s="197" t="e">
        <f t="shared" si="5"/>
        <v>#DIV/0!</v>
      </c>
      <c r="Q58" s="184"/>
      <c r="R58" s="172"/>
      <c r="S58" s="172"/>
      <c r="T58" s="199">
        <f t="shared" si="6"/>
        <v>0</v>
      </c>
      <c r="U58" s="199">
        <f t="shared" si="7"/>
        <v>0</v>
      </c>
      <c r="V58" s="199">
        <f t="shared" si="8"/>
        <v>0</v>
      </c>
      <c r="W58" s="172"/>
      <c r="X58" s="205" t="e">
        <f t="shared" si="9"/>
        <v>#DIV/0!</v>
      </c>
      <c r="Y58" s="174"/>
      <c r="Z58" s="201" t="e">
        <f t="shared" si="10"/>
        <v>#DIV/0!</v>
      </c>
      <c r="AA58" s="214" t="e">
        <f t="shared" si="11"/>
        <v>#DIV/0!</v>
      </c>
      <c r="AB58" s="180"/>
      <c r="AC58" s="203">
        <f t="shared" si="12"/>
        <v>0</v>
      </c>
      <c r="AD58" s="204">
        <f t="shared" si="13"/>
        <v>0</v>
      </c>
      <c r="AE58" s="196" t="e">
        <f t="shared" si="14"/>
        <v>#DIV/0!</v>
      </c>
      <c r="AF58" s="208" t="e">
        <f t="shared" si="15"/>
        <v>#DIV/0!</v>
      </c>
      <c r="AG58" s="211" t="e">
        <f t="shared" si="16"/>
        <v>#DIV/0!</v>
      </c>
    </row>
    <row r="59" spans="1:33" s="144" customFormat="1" ht="11.25">
      <c r="A59" s="150">
        <f t="shared" si="18"/>
        <v>44</v>
      </c>
      <c r="B59" s="164"/>
      <c r="C59" s="164"/>
      <c r="D59" s="164"/>
      <c r="E59" s="239"/>
      <c r="F59" s="162"/>
      <c r="G59" s="164"/>
      <c r="H59" s="164"/>
      <c r="I59" s="196">
        <f t="shared" si="0"/>
        <v>0</v>
      </c>
      <c r="J59" s="199">
        <f t="shared" si="1"/>
        <v>0</v>
      </c>
      <c r="K59" s="196">
        <f t="shared" si="2"/>
        <v>0</v>
      </c>
      <c r="L59" s="164"/>
      <c r="M59" s="205" t="e">
        <f t="shared" si="3"/>
        <v>#DIV/0!</v>
      </c>
      <c r="N59" s="164"/>
      <c r="O59" s="196" t="e">
        <f t="shared" si="4"/>
        <v>#DIV/0!</v>
      </c>
      <c r="P59" s="197" t="e">
        <f t="shared" si="5"/>
        <v>#DIV/0!</v>
      </c>
      <c r="Q59" s="184"/>
      <c r="R59" s="172"/>
      <c r="S59" s="172"/>
      <c r="T59" s="199">
        <f t="shared" si="6"/>
        <v>0</v>
      </c>
      <c r="U59" s="199">
        <f t="shared" si="7"/>
        <v>0</v>
      </c>
      <c r="V59" s="199">
        <f t="shared" si="8"/>
        <v>0</v>
      </c>
      <c r="W59" s="172"/>
      <c r="X59" s="205" t="e">
        <f t="shared" si="9"/>
        <v>#DIV/0!</v>
      </c>
      <c r="Y59" s="174"/>
      <c r="Z59" s="201" t="e">
        <f t="shared" si="10"/>
        <v>#DIV/0!</v>
      </c>
      <c r="AA59" s="214" t="e">
        <f t="shared" si="11"/>
        <v>#DIV/0!</v>
      </c>
      <c r="AB59" s="180"/>
      <c r="AC59" s="203">
        <f t="shared" si="12"/>
        <v>0</v>
      </c>
      <c r="AD59" s="204">
        <f t="shared" si="13"/>
        <v>0</v>
      </c>
      <c r="AE59" s="196" t="e">
        <f t="shared" si="14"/>
        <v>#DIV/0!</v>
      </c>
      <c r="AF59" s="208" t="e">
        <f t="shared" si="15"/>
        <v>#DIV/0!</v>
      </c>
      <c r="AG59" s="211" t="e">
        <f t="shared" si="16"/>
        <v>#DIV/0!</v>
      </c>
    </row>
    <row r="60" spans="1:33" s="144" customFormat="1" ht="11.25">
      <c r="A60" s="150">
        <f t="shared" si="18"/>
        <v>45</v>
      </c>
      <c r="B60" s="164"/>
      <c r="C60" s="164"/>
      <c r="D60" s="164"/>
      <c r="E60" s="239"/>
      <c r="F60" s="162"/>
      <c r="G60" s="164"/>
      <c r="H60" s="164"/>
      <c r="I60" s="196">
        <f t="shared" si="0"/>
        <v>0</v>
      </c>
      <c r="J60" s="199">
        <f t="shared" si="1"/>
        <v>0</v>
      </c>
      <c r="K60" s="196">
        <f t="shared" si="2"/>
        <v>0</v>
      </c>
      <c r="L60" s="164"/>
      <c r="M60" s="205" t="e">
        <f t="shared" si="3"/>
        <v>#DIV/0!</v>
      </c>
      <c r="N60" s="164"/>
      <c r="O60" s="196" t="e">
        <f t="shared" si="4"/>
        <v>#DIV/0!</v>
      </c>
      <c r="P60" s="197" t="e">
        <f t="shared" si="5"/>
        <v>#DIV/0!</v>
      </c>
      <c r="Q60" s="184"/>
      <c r="R60" s="172"/>
      <c r="S60" s="172"/>
      <c r="T60" s="199">
        <f t="shared" si="6"/>
        <v>0</v>
      </c>
      <c r="U60" s="199">
        <f t="shared" si="7"/>
        <v>0</v>
      </c>
      <c r="V60" s="199">
        <f t="shared" si="8"/>
        <v>0</v>
      </c>
      <c r="W60" s="172"/>
      <c r="X60" s="205" t="e">
        <f t="shared" si="9"/>
        <v>#DIV/0!</v>
      </c>
      <c r="Y60" s="174"/>
      <c r="Z60" s="201" t="e">
        <f t="shared" si="10"/>
        <v>#DIV/0!</v>
      </c>
      <c r="AA60" s="214" t="e">
        <f t="shared" si="11"/>
        <v>#DIV/0!</v>
      </c>
      <c r="AB60" s="180"/>
      <c r="AC60" s="203">
        <f t="shared" si="12"/>
        <v>0</v>
      </c>
      <c r="AD60" s="204">
        <f t="shared" si="13"/>
        <v>0</v>
      </c>
      <c r="AE60" s="196" t="e">
        <f t="shared" si="14"/>
        <v>#DIV/0!</v>
      </c>
      <c r="AF60" s="208" t="e">
        <f t="shared" si="15"/>
        <v>#DIV/0!</v>
      </c>
      <c r="AG60" s="211" t="e">
        <f t="shared" si="16"/>
        <v>#DIV/0!</v>
      </c>
    </row>
    <row r="61" spans="1:33" s="143" customFormat="1" ht="12" thickBot="1">
      <c r="A61" s="161">
        <f t="shared" si="18"/>
        <v>46</v>
      </c>
      <c r="B61" s="165"/>
      <c r="C61" s="165"/>
      <c r="D61" s="165"/>
      <c r="E61" s="240"/>
      <c r="F61" s="229"/>
      <c r="G61" s="230"/>
      <c r="H61" s="230"/>
      <c r="I61" s="196">
        <f t="shared" si="0"/>
        <v>0</v>
      </c>
      <c r="J61" s="199">
        <f t="shared" si="1"/>
        <v>0</v>
      </c>
      <c r="K61" s="196">
        <f t="shared" si="2"/>
        <v>0</v>
      </c>
      <c r="L61" s="230"/>
      <c r="M61" s="205" t="e">
        <f t="shared" si="3"/>
        <v>#DIV/0!</v>
      </c>
      <c r="N61" s="230"/>
      <c r="O61" s="196" t="e">
        <f t="shared" si="4"/>
        <v>#DIV/0!</v>
      </c>
      <c r="P61" s="197" t="e">
        <f t="shared" si="5"/>
        <v>#DIV/0!</v>
      </c>
      <c r="Q61" s="218"/>
      <c r="R61" s="219"/>
      <c r="S61" s="219"/>
      <c r="T61" s="199">
        <f t="shared" si="6"/>
        <v>0</v>
      </c>
      <c r="U61" s="199">
        <f t="shared" si="7"/>
        <v>0</v>
      </c>
      <c r="V61" s="199">
        <f t="shared" si="8"/>
        <v>0</v>
      </c>
      <c r="W61" s="219"/>
      <c r="X61" s="205" t="e">
        <f t="shared" si="9"/>
        <v>#DIV/0!</v>
      </c>
      <c r="Y61" s="220"/>
      <c r="Z61" s="201" t="e">
        <f t="shared" si="10"/>
        <v>#DIV/0!</v>
      </c>
      <c r="AA61" s="214" t="e">
        <f t="shared" si="11"/>
        <v>#DIV/0!</v>
      </c>
      <c r="AB61" s="221"/>
      <c r="AC61" s="203">
        <f t="shared" si="12"/>
        <v>0</v>
      </c>
      <c r="AD61" s="204">
        <f t="shared" si="13"/>
        <v>0</v>
      </c>
      <c r="AE61" s="196" t="e">
        <f t="shared" si="14"/>
        <v>#DIV/0!</v>
      </c>
      <c r="AF61" s="208" t="e">
        <f t="shared" si="15"/>
        <v>#DIV/0!</v>
      </c>
      <c r="AG61" s="211" t="e">
        <f t="shared" si="16"/>
        <v>#DIV/0!</v>
      </c>
    </row>
    <row r="62" spans="1:33" s="142" customFormat="1" ht="15.75" customHeight="1" thickBot="1">
      <c r="A62" s="251" t="s">
        <v>103</v>
      </c>
      <c r="B62" s="252"/>
      <c r="C62" s="252"/>
      <c r="D62" s="252"/>
      <c r="E62" s="253"/>
      <c r="F62" s="231"/>
      <c r="G62" s="232"/>
      <c r="H62" s="232"/>
      <c r="I62" s="233">
        <f>SUM(I16:I61)</f>
        <v>1450</v>
      </c>
      <c r="J62" s="233">
        <f>SUM(J16:J61)</f>
        <v>6351</v>
      </c>
      <c r="K62" s="233">
        <f>SUM(K16:K61)</f>
        <v>317.55</v>
      </c>
      <c r="L62" s="234"/>
      <c r="M62" s="234"/>
      <c r="N62" s="234"/>
      <c r="O62" s="233" t="e">
        <f>SUM(O16:O61)</f>
        <v>#DIV/0!</v>
      </c>
      <c r="P62" s="235" t="e">
        <f>SUM(P16:P61)</f>
        <v>#DIV/0!</v>
      </c>
      <c r="Q62" s="222"/>
      <c r="R62" s="223"/>
      <c r="S62" s="223"/>
      <c r="T62" s="224">
        <f>SUM(T16:T61)</f>
        <v>830</v>
      </c>
      <c r="U62" s="225">
        <f>SUM(U16:U61)</f>
        <v>3635.4</v>
      </c>
      <c r="V62" s="225">
        <f>SUM(V16:V61)</f>
        <v>181.77</v>
      </c>
      <c r="W62" s="226"/>
      <c r="X62" s="226"/>
      <c r="Y62" s="226"/>
      <c r="Z62" s="225" t="e">
        <f>SUM(Z16:Z61)</f>
        <v>#DIV/0!</v>
      </c>
      <c r="AA62" s="227" t="e">
        <f>SUM(AA16:AA61)</f>
        <v>#DIV/0!</v>
      </c>
      <c r="AB62" s="228"/>
      <c r="AC62" s="216">
        <f>SUM(AC16:AC61)</f>
        <v>890</v>
      </c>
      <c r="AD62" s="217">
        <f t="shared" ref="AD62:AF62" si="19">SUM(AD16:AD61)</f>
        <v>135.78</v>
      </c>
      <c r="AE62" s="215" t="e">
        <f t="shared" si="19"/>
        <v>#DIV/0!</v>
      </c>
      <c r="AF62" s="215" t="e">
        <f t="shared" si="19"/>
        <v>#DIV/0!</v>
      </c>
      <c r="AG62" s="236" t="e">
        <f>AC62/AF62</f>
        <v>#DIV/0!</v>
      </c>
    </row>
    <row r="63" spans="1:33" s="142" customFormat="1" ht="11.25"/>
    <row r="64" spans="1:33" s="142" customFormat="1" ht="11.25"/>
    <row r="65" s="142" customFormat="1" ht="11.25"/>
    <row r="66" s="142" customFormat="1" ht="11.25"/>
    <row r="67" s="142" customFormat="1" ht="11.25"/>
  </sheetData>
  <mergeCells count="6">
    <mergeCell ref="AD13:AG13"/>
    <mergeCell ref="M8:N8"/>
    <mergeCell ref="A13:E13"/>
    <mergeCell ref="A62:E62"/>
    <mergeCell ref="Q13:AC13"/>
    <mergeCell ref="F13:P13"/>
  </mergeCells>
  <pageMargins left="0.7" right="0.54166666666666663" top="0.75" bottom="0.75" header="0.3" footer="0.3"/>
  <pageSetup orientation="landscape" horizontalDpi="4294967294" verticalDpi="0" r:id="rId1"/>
  <headerFooter>
    <oddHeader>&amp;C&amp;"-,Bold"&amp;U&amp;K03-013PRORAČUN ZAMJENE SIJALICA U JAVNOJ RASVJETI</oddHeader>
    <oddFooter>&amp;L&amp;KC00000GIZ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B1:AB56"/>
  <sheetViews>
    <sheetView showGridLines="0" showWhiteSpace="0" zoomScale="70" zoomScaleNormal="70" zoomScalePageLayoutView="90" workbookViewId="0">
      <selection activeCell="Y24" sqref="Y24"/>
    </sheetView>
  </sheetViews>
  <sheetFormatPr defaultRowHeight="12.75"/>
  <cols>
    <col min="1" max="1" width="3.7109375" style="11" customWidth="1"/>
    <col min="2" max="2" width="12.42578125" style="11" customWidth="1"/>
    <col min="3" max="3" width="19.7109375" style="11" customWidth="1"/>
    <col min="4" max="12" width="9.42578125" style="11" customWidth="1"/>
    <col min="13" max="13" width="7" style="78" customWidth="1"/>
    <col min="14" max="14" width="3.7109375" style="78" customWidth="1"/>
    <col min="15" max="15" width="19.140625" style="3" customWidth="1"/>
    <col min="16" max="16" width="9.140625" style="11" customWidth="1"/>
    <col min="17" max="17" width="9.140625" style="11"/>
    <col min="18" max="24" width="9.140625" style="11" customWidth="1"/>
    <col min="25" max="25" width="9.140625" style="11"/>
    <col min="26" max="26" width="9.140625" style="11" customWidth="1"/>
    <col min="27" max="27" width="9" style="11" customWidth="1"/>
    <col min="28" max="16384" width="9.140625" style="11"/>
  </cols>
  <sheetData>
    <row r="1" spans="2:28" ht="12" customHeight="1"/>
    <row r="2" spans="2:28" s="13" customFormat="1" ht="24.75">
      <c r="B2" s="133" t="s">
        <v>54</v>
      </c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5"/>
      <c r="N2" s="135"/>
      <c r="O2" s="133" t="s">
        <v>58</v>
      </c>
      <c r="P2" s="133"/>
      <c r="Q2" s="133"/>
      <c r="R2" s="133"/>
      <c r="S2" s="133"/>
      <c r="T2" s="133"/>
      <c r="U2" s="145"/>
      <c r="V2" s="145"/>
      <c r="W2" s="145"/>
      <c r="X2" s="145"/>
      <c r="Y2" s="145"/>
    </row>
    <row r="3" spans="2:28" ht="13.5" thickBot="1"/>
    <row r="4" spans="2:28" ht="14.25" thickTop="1" thickBot="1">
      <c r="B4" s="87" t="s">
        <v>79</v>
      </c>
      <c r="C4" s="147" t="s">
        <v>80</v>
      </c>
      <c r="D4" s="35"/>
      <c r="O4" s="3" t="s">
        <v>95</v>
      </c>
      <c r="Q4" s="62">
        <v>0.11</v>
      </c>
      <c r="R4" s="11" t="s">
        <v>96</v>
      </c>
    </row>
    <row r="5" spans="2:28" ht="13.5" thickTop="1"/>
    <row r="6" spans="2:28" ht="32.25" customHeight="1">
      <c r="B6" s="264"/>
      <c r="C6" s="265" t="s">
        <v>0</v>
      </c>
      <c r="D6" s="265" t="s">
        <v>48</v>
      </c>
      <c r="E6" s="265" t="s">
        <v>49</v>
      </c>
      <c r="F6" s="265" t="s">
        <v>50</v>
      </c>
      <c r="G6" s="267" t="s">
        <v>26</v>
      </c>
      <c r="H6" s="268"/>
      <c r="I6" s="268"/>
      <c r="J6" s="268"/>
      <c r="K6" s="269"/>
      <c r="L6" s="262" t="s">
        <v>53</v>
      </c>
      <c r="O6" s="265" t="s">
        <v>0</v>
      </c>
      <c r="P6" s="265" t="s">
        <v>5</v>
      </c>
      <c r="Q6" s="265" t="s">
        <v>49</v>
      </c>
      <c r="R6" s="265" t="s">
        <v>50</v>
      </c>
      <c r="S6" s="278" t="s">
        <v>26</v>
      </c>
      <c r="T6" s="279"/>
      <c r="U6" s="279"/>
      <c r="V6" s="279"/>
      <c r="W6" s="280"/>
      <c r="X6" s="265" t="s">
        <v>42</v>
      </c>
      <c r="Y6" s="265" t="s">
        <v>52</v>
      </c>
    </row>
    <row r="7" spans="2:28">
      <c r="B7" s="264"/>
      <c r="C7" s="266"/>
      <c r="D7" s="266"/>
      <c r="E7" s="266"/>
      <c r="F7" s="266"/>
      <c r="G7" s="67">
        <v>1</v>
      </c>
      <c r="H7" s="67">
        <v>2</v>
      </c>
      <c r="I7" s="67">
        <v>3</v>
      </c>
      <c r="J7" s="67">
        <v>4</v>
      </c>
      <c r="K7" s="67">
        <v>5</v>
      </c>
      <c r="L7" s="263"/>
      <c r="O7" s="266"/>
      <c r="P7" s="266"/>
      <c r="Q7" s="266"/>
      <c r="R7" s="266"/>
      <c r="S7" s="68">
        <v>1</v>
      </c>
      <c r="T7" s="68">
        <v>2</v>
      </c>
      <c r="U7" s="68">
        <v>3</v>
      </c>
      <c r="V7" s="68">
        <v>4</v>
      </c>
      <c r="W7" s="68">
        <v>5</v>
      </c>
      <c r="X7" s="266"/>
      <c r="Y7" s="266"/>
    </row>
    <row r="8" spans="2:28" s="1" customFormat="1" ht="13.5" thickBot="1">
      <c r="B8" s="24"/>
      <c r="C8" s="25"/>
      <c r="D8" s="26"/>
      <c r="E8" s="26"/>
      <c r="F8" s="26"/>
      <c r="G8" s="26"/>
      <c r="H8" s="26"/>
      <c r="I8" s="26"/>
      <c r="J8" s="26"/>
      <c r="K8" s="26"/>
      <c r="L8" s="27"/>
      <c r="O8" s="276" t="s">
        <v>9</v>
      </c>
      <c r="P8" s="276"/>
      <c r="Q8" s="277"/>
      <c r="R8" s="276"/>
      <c r="S8" s="276"/>
      <c r="T8" s="276"/>
      <c r="U8" s="276"/>
      <c r="V8" s="276"/>
      <c r="W8" s="276"/>
      <c r="X8" s="276"/>
      <c r="Y8" s="276"/>
      <c r="Z8" s="11"/>
    </row>
    <row r="9" spans="2:28" ht="15" customHeight="1" thickTop="1" thickBot="1">
      <c r="B9" s="258" t="s">
        <v>1</v>
      </c>
      <c r="C9" s="258"/>
      <c r="D9" s="109">
        <v>93</v>
      </c>
      <c r="E9" s="134">
        <v>1</v>
      </c>
      <c r="F9" s="109">
        <f>+D9*E9</f>
        <v>93</v>
      </c>
      <c r="G9" s="110">
        <f>$F$9*4380/1000</f>
        <v>407.34</v>
      </c>
      <c r="H9" s="111">
        <f>G9*2</f>
        <v>814.68</v>
      </c>
      <c r="I9" s="110">
        <f>G9*3</f>
        <v>1222.02</v>
      </c>
      <c r="J9" s="111">
        <f>G9*4</f>
        <v>1629.36</v>
      </c>
      <c r="K9" s="110">
        <f>G9*5</f>
        <v>2036.6999999999998</v>
      </c>
      <c r="L9" s="109">
        <v>6000</v>
      </c>
      <c r="O9" s="28" t="s">
        <v>1</v>
      </c>
      <c r="P9" s="30">
        <f>D9</f>
        <v>93</v>
      </c>
      <c r="Q9" s="62">
        <v>1</v>
      </c>
      <c r="R9" s="136">
        <f>+P9*Q9</f>
        <v>93</v>
      </c>
      <c r="S9" s="137">
        <f>4380/1000*R$9</f>
        <v>407.34</v>
      </c>
      <c r="T9" s="138">
        <f>$S$9*T7</f>
        <v>814.68</v>
      </c>
      <c r="U9" s="138">
        <f>$S$9*U7</f>
        <v>1222.02</v>
      </c>
      <c r="V9" s="138">
        <f t="shared" ref="V9" si="0">$S$9*V7</f>
        <v>1629.36</v>
      </c>
      <c r="W9" s="138">
        <f>$S$9*W7</f>
        <v>2036.6999999999998</v>
      </c>
      <c r="X9" s="82">
        <f>L9</f>
        <v>6000</v>
      </c>
      <c r="Y9" s="22">
        <f>X9/12/365</f>
        <v>1.3698630136986301</v>
      </c>
    </row>
    <row r="10" spans="2:28" ht="12.75" customHeight="1" thickTop="1" thickBot="1">
      <c r="B10" s="260" t="s">
        <v>7</v>
      </c>
      <c r="C10" s="115" t="s">
        <v>12</v>
      </c>
      <c r="D10" s="116">
        <v>83</v>
      </c>
      <c r="E10" s="62">
        <v>1</v>
      </c>
      <c r="F10" s="116">
        <f>+D10*E10</f>
        <v>83</v>
      </c>
      <c r="G10" s="120">
        <f>F10*4380/1000</f>
        <v>363.54</v>
      </c>
      <c r="H10" s="121">
        <f>G10*2</f>
        <v>727.08</v>
      </c>
      <c r="I10" s="120">
        <f>G10*3</f>
        <v>1090.6200000000001</v>
      </c>
      <c r="J10" s="121">
        <f>G10*4</f>
        <v>1454.16</v>
      </c>
      <c r="K10" s="120">
        <f>G10*5</f>
        <v>1817.7</v>
      </c>
      <c r="L10" s="116">
        <v>28000</v>
      </c>
      <c r="O10" s="276" t="s">
        <v>24</v>
      </c>
      <c r="P10" s="276"/>
      <c r="Q10" s="285"/>
      <c r="R10" s="276"/>
      <c r="S10" s="276"/>
      <c r="T10" s="276"/>
      <c r="U10" s="276"/>
      <c r="V10" s="276"/>
      <c r="W10" s="276"/>
      <c r="X10" s="276"/>
      <c r="Y10" s="276"/>
    </row>
    <row r="11" spans="2:28" ht="13.5" thickTop="1">
      <c r="B11" s="260"/>
      <c r="C11" s="117" t="s">
        <v>6</v>
      </c>
      <c r="D11" s="118">
        <f t="shared" ref="D11:K11" si="1">D9-D10</f>
        <v>10</v>
      </c>
      <c r="E11" s="113"/>
      <c r="F11" s="118">
        <f t="shared" si="1"/>
        <v>10</v>
      </c>
      <c r="G11" s="122">
        <f>G9-G10</f>
        <v>43.799999999999955</v>
      </c>
      <c r="H11" s="122">
        <f t="shared" si="1"/>
        <v>87.599999999999909</v>
      </c>
      <c r="I11" s="122">
        <f t="shared" si="1"/>
        <v>131.39999999999986</v>
      </c>
      <c r="J11" s="122">
        <f t="shared" si="1"/>
        <v>175.19999999999982</v>
      </c>
      <c r="K11" s="122">
        <f t="shared" si="1"/>
        <v>218.99999999999977</v>
      </c>
      <c r="L11" s="117"/>
      <c r="O11" s="28" t="s">
        <v>27</v>
      </c>
      <c r="P11" s="8">
        <f>D10</f>
        <v>83</v>
      </c>
      <c r="Q11" s="8">
        <f>Q9</f>
        <v>1</v>
      </c>
      <c r="R11" s="7">
        <f>+P11*Q11</f>
        <v>83</v>
      </c>
      <c r="S11" s="10">
        <f>4380/1000*R$11</f>
        <v>363.53999999999996</v>
      </c>
      <c r="T11" s="10">
        <f>$S$11*T7</f>
        <v>727.07999999999993</v>
      </c>
      <c r="U11" s="10">
        <f t="shared" ref="U11:V11" si="2">$S$11*U7</f>
        <v>1090.6199999999999</v>
      </c>
      <c r="V11" s="10">
        <f t="shared" si="2"/>
        <v>1454.1599999999999</v>
      </c>
      <c r="W11" s="10">
        <f>$S$11*W7</f>
        <v>1817.6999999999998</v>
      </c>
      <c r="X11" s="82">
        <f>L10</f>
        <v>28000</v>
      </c>
      <c r="Y11" s="22">
        <f>X11/12/365</f>
        <v>6.3926940639269407</v>
      </c>
    </row>
    <row r="12" spans="2:28">
      <c r="B12" s="260"/>
      <c r="C12" s="115" t="s">
        <v>8</v>
      </c>
      <c r="D12" s="119"/>
      <c r="E12" s="114"/>
      <c r="F12" s="119"/>
      <c r="G12" s="123">
        <f>100-(G10/G9)*100</f>
        <v>10.752688172043008</v>
      </c>
      <c r="H12" s="123">
        <f>100-(H10/H9)*100</f>
        <v>10.752688172043008</v>
      </c>
      <c r="I12" s="123">
        <f>100-(I10/I9)*100</f>
        <v>10.752688172043008</v>
      </c>
      <c r="J12" s="123">
        <f>100-(J10/J9)*100</f>
        <v>10.752688172043008</v>
      </c>
      <c r="K12" s="123">
        <f>100-(K10/K9)*100</f>
        <v>10.752688172043008</v>
      </c>
      <c r="L12" s="115"/>
      <c r="O12" s="284" t="s">
        <v>28</v>
      </c>
      <c r="P12" s="284"/>
      <c r="Q12" s="284"/>
      <c r="R12" s="284"/>
      <c r="S12" s="284"/>
      <c r="T12" s="284"/>
      <c r="U12" s="284"/>
      <c r="V12" s="284"/>
      <c r="W12" s="284"/>
      <c r="X12" s="82">
        <f>100-(X9/X11)*100</f>
        <v>78.571428571428569</v>
      </c>
      <c r="Y12" s="29" t="s">
        <v>25</v>
      </c>
    </row>
    <row r="13" spans="2:28">
      <c r="B13" s="260"/>
      <c r="C13" s="115" t="s">
        <v>11</v>
      </c>
      <c r="D13" s="115"/>
      <c r="E13" s="115"/>
      <c r="F13" s="112"/>
      <c r="G13" s="112"/>
      <c r="H13" s="112"/>
      <c r="I13" s="112"/>
      <c r="J13" s="112"/>
      <c r="K13" s="112"/>
      <c r="L13" s="121">
        <f>100-(L9/L10)*100</f>
        <v>78.571428571428569</v>
      </c>
    </row>
    <row r="14" spans="2:28" s="1" customFormat="1" ht="13.5" thickBot="1">
      <c r="B14" s="64"/>
      <c r="C14" s="65"/>
      <c r="D14" s="65"/>
      <c r="E14" s="65"/>
      <c r="F14" s="65"/>
      <c r="G14" s="65"/>
      <c r="H14" s="65"/>
      <c r="I14" s="65"/>
      <c r="J14" s="65"/>
      <c r="K14" s="65"/>
      <c r="L14" s="66"/>
      <c r="O14" s="281" t="s">
        <v>0</v>
      </c>
      <c r="P14" s="282" t="s">
        <v>29</v>
      </c>
      <c r="Q14" s="282"/>
      <c r="R14" s="283" t="s">
        <v>30</v>
      </c>
      <c r="S14" s="283"/>
      <c r="T14" s="283"/>
      <c r="U14" s="283"/>
      <c r="V14" s="283"/>
      <c r="W14" s="283"/>
      <c r="X14" s="11"/>
      <c r="Y14" s="11"/>
      <c r="Z14" s="11"/>
      <c r="AA14" s="11"/>
      <c r="AB14" s="11"/>
    </row>
    <row r="15" spans="2:28" ht="15" customHeight="1" thickTop="1" thickBot="1">
      <c r="B15" s="258" t="s">
        <v>1</v>
      </c>
      <c r="C15" s="258"/>
      <c r="D15" s="109">
        <v>93</v>
      </c>
      <c r="E15" s="62">
        <v>1</v>
      </c>
      <c r="F15" s="109">
        <f>+D15*E15</f>
        <v>93</v>
      </c>
      <c r="G15" s="110">
        <f>D15*4380/1000</f>
        <v>407.34</v>
      </c>
      <c r="H15" s="111">
        <f>G15*2</f>
        <v>814.68</v>
      </c>
      <c r="I15" s="110">
        <f>G15*3</f>
        <v>1222.02</v>
      </c>
      <c r="J15" s="111">
        <f>G15*4</f>
        <v>1629.36</v>
      </c>
      <c r="K15" s="110">
        <f>G15*5</f>
        <v>2036.6999999999998</v>
      </c>
      <c r="L15" s="109">
        <v>6000</v>
      </c>
      <c r="O15" s="281"/>
      <c r="P15" s="282"/>
      <c r="Q15" s="282"/>
      <c r="R15" s="68">
        <v>0</v>
      </c>
      <c r="S15" s="73">
        <v>1</v>
      </c>
      <c r="T15" s="73">
        <v>2</v>
      </c>
      <c r="U15" s="73">
        <v>3</v>
      </c>
      <c r="V15" s="73">
        <v>4</v>
      </c>
      <c r="W15" s="73">
        <v>5</v>
      </c>
    </row>
    <row r="16" spans="2:28" ht="12.75" customHeight="1" thickTop="1" thickBot="1">
      <c r="B16" s="261" t="s">
        <v>7</v>
      </c>
      <c r="C16" s="124" t="s">
        <v>13</v>
      </c>
      <c r="D16" s="125">
        <v>70</v>
      </c>
      <c r="E16" s="62">
        <v>1</v>
      </c>
      <c r="F16" s="125">
        <f>+D16*E16</f>
        <v>70</v>
      </c>
      <c r="G16" s="132">
        <f>D16*4380/1000</f>
        <v>306.60000000000002</v>
      </c>
      <c r="H16" s="131">
        <f>G16*2</f>
        <v>613.20000000000005</v>
      </c>
      <c r="I16" s="132">
        <f>G16*3</f>
        <v>919.80000000000007</v>
      </c>
      <c r="J16" s="131">
        <f>G16*4</f>
        <v>1226.4000000000001</v>
      </c>
      <c r="K16" s="132">
        <f>G16*5</f>
        <v>1533</v>
      </c>
      <c r="L16" s="125">
        <v>29000</v>
      </c>
      <c r="O16" s="270" t="s">
        <v>1</v>
      </c>
      <c r="P16" s="271"/>
      <c r="Q16" s="271"/>
      <c r="R16" s="271"/>
      <c r="S16" s="271"/>
      <c r="T16" s="271"/>
      <c r="U16" s="271"/>
      <c r="V16" s="271"/>
      <c r="W16" s="272"/>
    </row>
    <row r="17" spans="2:28" ht="13.5" thickTop="1">
      <c r="B17" s="261"/>
      <c r="C17" s="126" t="s">
        <v>6</v>
      </c>
      <c r="D17" s="127">
        <f>D15-D16</f>
        <v>23</v>
      </c>
      <c r="E17" s="127"/>
      <c r="F17" s="127"/>
      <c r="G17" s="129">
        <f t="shared" ref="G17:K17" si="3">G15-G16</f>
        <v>100.73999999999995</v>
      </c>
      <c r="H17" s="129">
        <f t="shared" si="3"/>
        <v>201.4799999999999</v>
      </c>
      <c r="I17" s="129">
        <f t="shared" si="3"/>
        <v>302.21999999999991</v>
      </c>
      <c r="J17" s="129">
        <f t="shared" si="3"/>
        <v>402.95999999999981</v>
      </c>
      <c r="K17" s="129">
        <f t="shared" si="3"/>
        <v>503.69999999999982</v>
      </c>
      <c r="L17" s="126"/>
      <c r="O17" s="4" t="s">
        <v>31</v>
      </c>
      <c r="P17" s="8"/>
      <c r="Q17" s="18"/>
      <c r="R17" s="7"/>
      <c r="S17" s="14">
        <f>S9*$Q$4</f>
        <v>44.807399999999994</v>
      </c>
      <c r="T17" s="14">
        <f t="shared" ref="T17:W17" si="4">T9*$Q$4</f>
        <v>89.614799999999988</v>
      </c>
      <c r="U17" s="14">
        <f t="shared" si="4"/>
        <v>134.4222</v>
      </c>
      <c r="V17" s="14">
        <f t="shared" si="4"/>
        <v>179.22959999999998</v>
      </c>
      <c r="W17" s="14">
        <f t="shared" si="4"/>
        <v>224.03699999999998</v>
      </c>
    </row>
    <row r="18" spans="2:28">
      <c r="B18" s="261"/>
      <c r="C18" s="124" t="s">
        <v>8</v>
      </c>
      <c r="D18" s="128"/>
      <c r="E18" s="128"/>
      <c r="F18" s="128"/>
      <c r="G18" s="130">
        <f>100-(G16/G15)*100</f>
        <v>24.731182795698913</v>
      </c>
      <c r="H18" s="130">
        <f t="shared" ref="H18:K18" si="5">100-(H16/H15)*100</f>
        <v>24.731182795698913</v>
      </c>
      <c r="I18" s="130">
        <f t="shared" si="5"/>
        <v>24.731182795698913</v>
      </c>
      <c r="J18" s="130">
        <f t="shared" si="5"/>
        <v>24.731182795698913</v>
      </c>
      <c r="K18" s="130">
        <f t="shared" si="5"/>
        <v>24.731182795698913</v>
      </c>
      <c r="L18" s="124"/>
      <c r="O18" s="4" t="s">
        <v>32</v>
      </c>
      <c r="P18" s="8">
        <f>25*Q9</f>
        <v>25</v>
      </c>
      <c r="Q18" s="22">
        <f>Y9</f>
        <v>1.3698630136986301</v>
      </c>
      <c r="R18" s="7"/>
      <c r="S18" s="14">
        <f>$P$18*R15*$Q$9</f>
        <v>0</v>
      </c>
      <c r="T18" s="14">
        <f>$P$18*S15</f>
        <v>25</v>
      </c>
      <c r="U18" s="14">
        <f>$P$18*T15</f>
        <v>50</v>
      </c>
      <c r="V18" s="14">
        <f>$P$18*U15</f>
        <v>75</v>
      </c>
      <c r="W18" s="14">
        <f>$P$18*V15</f>
        <v>100</v>
      </c>
    </row>
    <row r="19" spans="2:28">
      <c r="B19" s="261"/>
      <c r="C19" s="124" t="s">
        <v>11</v>
      </c>
      <c r="D19" s="124"/>
      <c r="E19" s="124"/>
      <c r="F19" s="124"/>
      <c r="G19" s="124"/>
      <c r="H19" s="124"/>
      <c r="I19" s="124"/>
      <c r="J19" s="124"/>
      <c r="K19" s="124"/>
      <c r="L19" s="131">
        <f>100-(L15/L16)*100</f>
        <v>79.310344827586206</v>
      </c>
      <c r="O19" s="286" t="s">
        <v>33</v>
      </c>
      <c r="P19" s="287"/>
      <c r="Q19" s="288"/>
      <c r="R19" s="5"/>
      <c r="S19" s="15">
        <f>S17+S18</f>
        <v>44.807399999999994</v>
      </c>
      <c r="T19" s="15">
        <f t="shared" ref="T19:W19" si="6">T17+T18</f>
        <v>114.61479999999999</v>
      </c>
      <c r="U19" s="15">
        <f t="shared" si="6"/>
        <v>184.4222</v>
      </c>
      <c r="V19" s="15">
        <f t="shared" si="6"/>
        <v>254.22959999999998</v>
      </c>
      <c r="W19" s="15">
        <f t="shared" si="6"/>
        <v>324.03699999999998</v>
      </c>
    </row>
    <row r="20" spans="2:28" s="1" customFormat="1" ht="13.5" thickBot="1">
      <c r="B20" s="64"/>
      <c r="C20" s="65"/>
      <c r="D20" s="65"/>
      <c r="E20" s="65"/>
      <c r="F20" s="65"/>
      <c r="G20" s="65"/>
      <c r="H20" s="65"/>
      <c r="I20" s="65"/>
      <c r="J20" s="65"/>
      <c r="K20" s="65"/>
      <c r="L20" s="66"/>
      <c r="O20" s="270" t="s">
        <v>27</v>
      </c>
      <c r="P20" s="271"/>
      <c r="Q20" s="271"/>
      <c r="R20" s="271"/>
      <c r="S20" s="271"/>
      <c r="T20" s="271"/>
      <c r="U20" s="271"/>
      <c r="V20" s="271"/>
      <c r="W20" s="272"/>
      <c r="X20" s="11"/>
      <c r="Y20" s="11"/>
      <c r="Z20" s="11"/>
      <c r="AA20" s="11"/>
      <c r="AB20" s="11"/>
    </row>
    <row r="21" spans="2:28" ht="15" customHeight="1" thickTop="1" thickBot="1">
      <c r="B21" s="258" t="s">
        <v>1</v>
      </c>
      <c r="C21" s="258"/>
      <c r="D21" s="109">
        <v>93</v>
      </c>
      <c r="E21" s="62">
        <v>1</v>
      </c>
      <c r="F21" s="109">
        <f>+D21*E21</f>
        <v>93</v>
      </c>
      <c r="G21" s="110">
        <f>D21*4380/1000</f>
        <v>407.34</v>
      </c>
      <c r="H21" s="111">
        <f>G21*2</f>
        <v>814.68</v>
      </c>
      <c r="I21" s="110">
        <f>G21*3</f>
        <v>1222.02</v>
      </c>
      <c r="J21" s="111">
        <f>G21*4</f>
        <v>1629.36</v>
      </c>
      <c r="K21" s="110">
        <f>G21*5</f>
        <v>2036.6999999999998</v>
      </c>
      <c r="L21" s="109">
        <v>6000</v>
      </c>
      <c r="O21" s="273" t="s">
        <v>34</v>
      </c>
      <c r="P21" s="274"/>
      <c r="Q21" s="275"/>
      <c r="R21" s="8">
        <f>89*Q9</f>
        <v>89</v>
      </c>
      <c r="S21" s="5"/>
      <c r="T21" s="5"/>
      <c r="U21" s="5"/>
      <c r="V21" s="5"/>
      <c r="W21" s="5"/>
    </row>
    <row r="22" spans="2:28" ht="12.75" customHeight="1" thickTop="1" thickBot="1">
      <c r="B22" s="257" t="s">
        <v>7</v>
      </c>
      <c r="C22" s="106" t="s">
        <v>10</v>
      </c>
      <c r="D22" s="98">
        <v>50</v>
      </c>
      <c r="E22" s="62">
        <v>1</v>
      </c>
      <c r="F22" s="98">
        <f>+D22*E22</f>
        <v>50</v>
      </c>
      <c r="G22" s="99">
        <f>D22*4380/1000</f>
        <v>219</v>
      </c>
      <c r="H22" s="100">
        <f>G22*2</f>
        <v>438</v>
      </c>
      <c r="I22" s="99">
        <f>G22*3</f>
        <v>657</v>
      </c>
      <c r="J22" s="100">
        <f>G22*4</f>
        <v>876</v>
      </c>
      <c r="K22" s="99">
        <f>G22*5</f>
        <v>1095</v>
      </c>
      <c r="L22" s="98">
        <v>50000</v>
      </c>
      <c r="O22" s="273" t="s">
        <v>31</v>
      </c>
      <c r="P22" s="274"/>
      <c r="Q22" s="275"/>
      <c r="R22" s="7"/>
      <c r="S22" s="14">
        <f>+S11*$Q$4</f>
        <v>39.989399999999996</v>
      </c>
      <c r="T22" s="14">
        <f t="shared" ref="T22:W22" si="7">+T11*$Q$4</f>
        <v>79.978799999999993</v>
      </c>
      <c r="U22" s="14">
        <f t="shared" si="7"/>
        <v>119.96819999999998</v>
      </c>
      <c r="V22" s="14">
        <f t="shared" si="7"/>
        <v>159.95759999999999</v>
      </c>
      <c r="W22" s="14">
        <f t="shared" si="7"/>
        <v>199.94699999999997</v>
      </c>
    </row>
    <row r="23" spans="2:28" ht="13.5" thickTop="1">
      <c r="B23" s="257"/>
      <c r="C23" s="103" t="s">
        <v>6</v>
      </c>
      <c r="D23" s="101">
        <f>D21-D22</f>
        <v>43</v>
      </c>
      <c r="E23" s="101"/>
      <c r="F23" s="101"/>
      <c r="G23" s="102">
        <f t="shared" ref="G23" si="8">G21-G22</f>
        <v>188.33999999999997</v>
      </c>
      <c r="H23" s="102">
        <f t="shared" ref="H23" si="9">H21-H22</f>
        <v>376.67999999999995</v>
      </c>
      <c r="I23" s="102">
        <f t="shared" ref="I23" si="10">I21-I22</f>
        <v>565.02</v>
      </c>
      <c r="J23" s="102">
        <f t="shared" ref="J23" si="11">J21-J22</f>
        <v>753.3599999999999</v>
      </c>
      <c r="K23" s="102">
        <f t="shared" ref="K23" si="12">K21-K22</f>
        <v>941.69999999999982</v>
      </c>
      <c r="L23" s="103"/>
      <c r="O23" s="4" t="s">
        <v>32</v>
      </c>
      <c r="P23" s="8">
        <f>32*Q9</f>
        <v>32</v>
      </c>
      <c r="Q23" s="22">
        <f>Y11</f>
        <v>6.3926940639269407</v>
      </c>
      <c r="R23" s="7"/>
      <c r="S23" s="14">
        <v>0</v>
      </c>
      <c r="T23" s="14">
        <v>0</v>
      </c>
      <c r="U23" s="14">
        <v>0</v>
      </c>
      <c r="V23" s="14">
        <v>0</v>
      </c>
      <c r="W23" s="14">
        <v>0</v>
      </c>
    </row>
    <row r="24" spans="2:28">
      <c r="B24" s="257"/>
      <c r="C24" s="106" t="s">
        <v>8</v>
      </c>
      <c r="D24" s="104"/>
      <c r="E24" s="104"/>
      <c r="F24" s="104"/>
      <c r="G24" s="105">
        <f>100-(G22/G21)*100</f>
        <v>46.236559139784937</v>
      </c>
      <c r="H24" s="105">
        <f t="shared" ref="H24:K24" si="13">100-(H22/H21)*100</f>
        <v>46.236559139784937</v>
      </c>
      <c r="I24" s="105">
        <f t="shared" si="13"/>
        <v>46.236559139784951</v>
      </c>
      <c r="J24" s="105">
        <f t="shared" si="13"/>
        <v>46.236559139784937</v>
      </c>
      <c r="K24" s="105">
        <f t="shared" si="13"/>
        <v>46.236559139784937</v>
      </c>
      <c r="L24" s="106"/>
      <c r="O24" s="286" t="s">
        <v>33</v>
      </c>
      <c r="P24" s="287"/>
      <c r="Q24" s="288"/>
      <c r="R24" s="6"/>
      <c r="S24" s="16">
        <f t="shared" ref="S24:W24" si="14">S22+S23</f>
        <v>39.989399999999996</v>
      </c>
      <c r="T24" s="16">
        <f t="shared" si="14"/>
        <v>79.978799999999993</v>
      </c>
      <c r="U24" s="16">
        <f t="shared" si="14"/>
        <v>119.96819999999998</v>
      </c>
      <c r="V24" s="16">
        <f t="shared" si="14"/>
        <v>159.95759999999999</v>
      </c>
      <c r="W24" s="16">
        <f t="shared" si="14"/>
        <v>199.94699999999997</v>
      </c>
    </row>
    <row r="25" spans="2:28">
      <c r="B25" s="257"/>
      <c r="C25" s="106" t="s">
        <v>11</v>
      </c>
      <c r="D25" s="106"/>
      <c r="E25" s="106"/>
      <c r="F25" s="106"/>
      <c r="G25" s="106"/>
      <c r="H25" s="106"/>
      <c r="I25" s="106"/>
      <c r="J25" s="106"/>
      <c r="K25" s="106"/>
      <c r="L25" s="100">
        <f>100-(L21/L22)*100</f>
        <v>88</v>
      </c>
      <c r="O25" s="286" t="s">
        <v>35</v>
      </c>
      <c r="P25" s="287"/>
      <c r="Q25" s="288"/>
      <c r="R25" s="6">
        <f>R21</f>
        <v>89</v>
      </c>
      <c r="S25" s="16">
        <f>$R$25+S24</f>
        <v>128.98939999999999</v>
      </c>
      <c r="T25" s="16">
        <f t="shared" ref="T25:W25" si="15">$R$25+T24</f>
        <v>168.97879999999998</v>
      </c>
      <c r="U25" s="16">
        <f t="shared" si="15"/>
        <v>208.96819999999997</v>
      </c>
      <c r="V25" s="16">
        <f t="shared" si="15"/>
        <v>248.95759999999999</v>
      </c>
      <c r="W25" s="16">
        <f t="shared" si="15"/>
        <v>288.947</v>
      </c>
    </row>
    <row r="26" spans="2:28" s="1" customFormat="1" ht="13.5" thickBot="1">
      <c r="B26" s="64"/>
      <c r="C26" s="65"/>
      <c r="D26" s="65"/>
      <c r="E26" s="107"/>
      <c r="F26" s="107"/>
      <c r="G26" s="107"/>
      <c r="H26" s="107"/>
      <c r="I26" s="107"/>
      <c r="J26" s="107"/>
      <c r="K26" s="107"/>
      <c r="L26" s="108"/>
      <c r="O26" s="286" t="s">
        <v>36</v>
      </c>
      <c r="P26" s="287"/>
      <c r="Q26" s="288"/>
      <c r="R26" s="76">
        <f>0-R25</f>
        <v>-89</v>
      </c>
      <c r="S26" s="77">
        <f>S19-S25</f>
        <v>-84.181999999999988</v>
      </c>
      <c r="T26" s="77">
        <f t="shared" ref="T26:W26" si="16">T19-T25</f>
        <v>-54.36399999999999</v>
      </c>
      <c r="U26" s="77">
        <f t="shared" si="16"/>
        <v>-24.545999999999964</v>
      </c>
      <c r="V26" s="77">
        <f t="shared" si="16"/>
        <v>5.2719999999999914</v>
      </c>
      <c r="W26" s="77">
        <f t="shared" si="16"/>
        <v>35.089999999999975</v>
      </c>
      <c r="X26" s="11"/>
      <c r="Y26" s="11"/>
      <c r="Z26" s="11"/>
      <c r="AA26" s="11"/>
      <c r="AB26" s="11"/>
    </row>
    <row r="27" spans="2:28" ht="15" customHeight="1" thickTop="1" thickBot="1">
      <c r="B27" s="258" t="s">
        <v>1</v>
      </c>
      <c r="C27" s="258"/>
      <c r="D27" s="109">
        <v>93</v>
      </c>
      <c r="E27" s="62">
        <v>1</v>
      </c>
      <c r="F27" s="109">
        <f>+D27*E27</f>
        <v>93</v>
      </c>
      <c r="G27" s="110">
        <f>D27*4380/1000</f>
        <v>407.34</v>
      </c>
      <c r="H27" s="111">
        <f>G27*2</f>
        <v>814.68</v>
      </c>
      <c r="I27" s="110">
        <f>G27*3</f>
        <v>1222.02</v>
      </c>
      <c r="J27" s="111">
        <f>G27*4</f>
        <v>1629.36</v>
      </c>
      <c r="K27" s="110">
        <f>G27*5</f>
        <v>2036.6999999999998</v>
      </c>
      <c r="L27" s="109">
        <v>6000</v>
      </c>
    </row>
    <row r="28" spans="2:28" ht="12.75" customHeight="1" thickTop="1" thickBot="1">
      <c r="B28" s="259" t="s">
        <v>7</v>
      </c>
      <c r="C28" s="89" t="s">
        <v>55</v>
      </c>
      <c r="D28" s="90">
        <v>83</v>
      </c>
      <c r="E28" s="62">
        <v>1</v>
      </c>
      <c r="F28" s="90">
        <f>+D28*E28</f>
        <v>83</v>
      </c>
      <c r="G28" s="97">
        <f>D28*4380/1000</f>
        <v>363.54</v>
      </c>
      <c r="H28" s="96">
        <f>G28*2</f>
        <v>727.08</v>
      </c>
      <c r="I28" s="97">
        <f>G28*3</f>
        <v>1090.6200000000001</v>
      </c>
      <c r="J28" s="96">
        <f>G28*4</f>
        <v>1454.16</v>
      </c>
      <c r="K28" s="97">
        <f>G28*5</f>
        <v>1817.7</v>
      </c>
      <c r="L28" s="90">
        <v>10000</v>
      </c>
      <c r="O28" s="21"/>
      <c r="P28" s="23"/>
      <c r="Q28" s="2"/>
      <c r="R28" s="2"/>
      <c r="S28" s="2"/>
      <c r="T28" s="2"/>
      <c r="U28" s="2"/>
      <c r="V28" s="2"/>
    </row>
    <row r="29" spans="2:28" ht="14.25" thickTop="1" thickBot="1">
      <c r="B29" s="259"/>
      <c r="C29" s="91" t="s">
        <v>6</v>
      </c>
      <c r="D29" s="92">
        <f>D27-D28</f>
        <v>10</v>
      </c>
      <c r="E29" s="92"/>
      <c r="F29" s="92"/>
      <c r="G29" s="94">
        <f t="shared" ref="G29" si="17">G27-G28</f>
        <v>43.799999999999955</v>
      </c>
      <c r="H29" s="94">
        <f t="shared" ref="H29" si="18">H27-H28</f>
        <v>87.599999999999909</v>
      </c>
      <c r="I29" s="94">
        <f t="shared" ref="I29" si="19">I27-I28</f>
        <v>131.39999999999986</v>
      </c>
      <c r="J29" s="94">
        <f t="shared" ref="J29" si="20">J27-J28</f>
        <v>175.19999999999982</v>
      </c>
      <c r="K29" s="94">
        <f t="shared" ref="K29" si="21">K27-K28</f>
        <v>218.99999999999977</v>
      </c>
      <c r="L29" s="91"/>
      <c r="O29" s="57" t="s">
        <v>37</v>
      </c>
      <c r="P29" s="78"/>
      <c r="Q29" s="78"/>
      <c r="R29" s="62">
        <v>4.0999999999999996</v>
      </c>
      <c r="S29" s="79" t="s">
        <v>38</v>
      </c>
      <c r="T29" s="63" t="s">
        <v>51</v>
      </c>
      <c r="U29" s="2"/>
      <c r="V29" s="2"/>
    </row>
    <row r="30" spans="2:28" ht="13.5" thickTop="1">
      <c r="B30" s="259"/>
      <c r="C30" s="89" t="s">
        <v>8</v>
      </c>
      <c r="D30" s="93"/>
      <c r="E30" s="93"/>
      <c r="F30" s="93"/>
      <c r="G30" s="95">
        <f>100-(G28/G27)*100</f>
        <v>10.752688172043008</v>
      </c>
      <c r="H30" s="95">
        <f t="shared" ref="H30:K30" si="22">100-(H28/H27)*100</f>
        <v>10.752688172043008</v>
      </c>
      <c r="I30" s="95">
        <f t="shared" si="22"/>
        <v>10.752688172043008</v>
      </c>
      <c r="J30" s="95">
        <f t="shared" si="22"/>
        <v>10.752688172043008</v>
      </c>
      <c r="K30" s="95">
        <f t="shared" si="22"/>
        <v>10.752688172043008</v>
      </c>
      <c r="L30" s="89"/>
      <c r="O30" s="59" t="s">
        <v>47</v>
      </c>
      <c r="P30" s="78"/>
      <c r="Q30" s="78"/>
      <c r="R30" s="80">
        <f>100-(S22*100)/S17</f>
        <v>10.752688172043008</v>
      </c>
      <c r="S30" s="12" t="s">
        <v>25</v>
      </c>
    </row>
    <row r="31" spans="2:28">
      <c r="B31" s="259"/>
      <c r="C31" s="89" t="s">
        <v>11</v>
      </c>
      <c r="D31" s="89"/>
      <c r="E31" s="89"/>
      <c r="F31" s="89"/>
      <c r="G31" s="89"/>
      <c r="H31" s="89"/>
      <c r="I31" s="89"/>
      <c r="J31" s="89"/>
      <c r="K31" s="89"/>
      <c r="L31" s="96">
        <f>100-(L27/L28)*100</f>
        <v>40</v>
      </c>
      <c r="O31" s="59" t="s">
        <v>39</v>
      </c>
      <c r="P31" s="78"/>
      <c r="Q31" s="78"/>
      <c r="R31" s="80">
        <v>100</v>
      </c>
      <c r="S31" s="12" t="s">
        <v>25</v>
      </c>
    </row>
    <row r="34" spans="15:15">
      <c r="O34" s="48" t="s">
        <v>59</v>
      </c>
    </row>
    <row r="35" spans="15:15">
      <c r="O35" s="48" t="s">
        <v>60</v>
      </c>
    </row>
    <row r="56" spans="2:3">
      <c r="B56" s="86"/>
      <c r="C56" s="85"/>
    </row>
  </sheetData>
  <dataConsolidate/>
  <mergeCells count="36">
    <mergeCell ref="O24:Q24"/>
    <mergeCell ref="O25:Q25"/>
    <mergeCell ref="O26:Q26"/>
    <mergeCell ref="O19:Q19"/>
    <mergeCell ref="O21:Q21"/>
    <mergeCell ref="O20:W20"/>
    <mergeCell ref="O16:W16"/>
    <mergeCell ref="O22:Q22"/>
    <mergeCell ref="O8:Y8"/>
    <mergeCell ref="S6:W6"/>
    <mergeCell ref="X6:X7"/>
    <mergeCell ref="Y6:Y7"/>
    <mergeCell ref="Q6:Q7"/>
    <mergeCell ref="P6:P7"/>
    <mergeCell ref="R6:R7"/>
    <mergeCell ref="O6:O7"/>
    <mergeCell ref="O14:O15"/>
    <mergeCell ref="P14:Q15"/>
    <mergeCell ref="R14:W14"/>
    <mergeCell ref="O12:W12"/>
    <mergeCell ref="O10:Y10"/>
    <mergeCell ref="L6:L7"/>
    <mergeCell ref="B6:B7"/>
    <mergeCell ref="C6:C7"/>
    <mergeCell ref="D6:D7"/>
    <mergeCell ref="F6:F7"/>
    <mergeCell ref="E6:E7"/>
    <mergeCell ref="G6:K6"/>
    <mergeCell ref="B22:B25"/>
    <mergeCell ref="B27:C27"/>
    <mergeCell ref="B28:B31"/>
    <mergeCell ref="B10:B13"/>
    <mergeCell ref="B9:C9"/>
    <mergeCell ref="B15:C15"/>
    <mergeCell ref="B16:B19"/>
    <mergeCell ref="B21:C21"/>
  </mergeCells>
  <conditionalFormatting sqref="S9:W9">
    <cfRule type="colorScale" priority="2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S11:W11">
    <cfRule type="colorScale" priority="2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S9:W9 S11:W11">
    <cfRule type="colorScale" priority="1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R17:W19 S21:W21 R22:W26">
    <cfRule type="colorScale" priority="1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R32"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S29 U29">
    <cfRule type="colorScale" priority="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S9:W9 O9:O11 S11:W11">
    <cfRule type="colorScale" priority="20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S9:W9">
    <cfRule type="colorScale" priority="21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S11:W11">
    <cfRule type="colorScale" priority="21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S9:W9">
    <cfRule type="colorScale" priority="21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R9:W9 R11:W11">
    <cfRule type="colorScale" priority="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T29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pageSetup paperSize="9" orientation="landscape" r:id="rId1"/>
  <headerFooter>
    <oddHeader>&amp;C&amp;"-,Bold"&amp;U&amp;K03+000PRORAČUN ZAMJENE SIJALICA U JAVNOJ RASVJETI</oddHeader>
    <oddFooter xml:space="preserve">&amp;L&amp;KC00000GIZ 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B1:AB35"/>
  <sheetViews>
    <sheetView showGridLines="0" showWhiteSpace="0" zoomScale="70" zoomScaleNormal="70" workbookViewId="0">
      <selection activeCell="E9" sqref="E9"/>
    </sheetView>
  </sheetViews>
  <sheetFormatPr defaultRowHeight="12.75"/>
  <cols>
    <col min="1" max="1" width="3.7109375" style="11" customWidth="1"/>
    <col min="2" max="2" width="12.42578125" style="11" customWidth="1"/>
    <col min="3" max="3" width="19.7109375" style="11" customWidth="1"/>
    <col min="4" max="12" width="9.42578125" style="11" customWidth="1"/>
    <col min="13" max="13" width="7" style="78" customWidth="1"/>
    <col min="14" max="14" width="3.7109375" style="78" customWidth="1"/>
    <col min="15" max="15" width="19.140625" style="3" customWidth="1"/>
    <col min="16" max="16" width="9.140625" style="11" customWidth="1"/>
    <col min="17" max="17" width="9.140625" style="11"/>
    <col min="18" max="24" width="9.140625" style="11" customWidth="1"/>
    <col min="25" max="25" width="9.140625" style="11"/>
    <col min="26" max="26" width="9.140625" style="11" customWidth="1"/>
    <col min="27" max="27" width="19.5703125" style="11" customWidth="1"/>
    <col min="28" max="16384" width="9.140625" style="11"/>
  </cols>
  <sheetData>
    <row r="1" spans="2:28" ht="12" customHeight="1"/>
    <row r="2" spans="2:28" s="13" customFormat="1" ht="24.75">
      <c r="B2" s="133" t="s">
        <v>62</v>
      </c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5"/>
      <c r="N2" s="135"/>
      <c r="O2" s="133" t="s">
        <v>63</v>
      </c>
      <c r="P2" s="133"/>
      <c r="Q2" s="133"/>
      <c r="R2" s="133"/>
      <c r="S2" s="133"/>
      <c r="T2" s="133"/>
      <c r="U2" s="145"/>
      <c r="V2" s="145"/>
      <c r="W2" s="145"/>
      <c r="X2" s="145"/>
      <c r="Y2" s="145"/>
    </row>
    <row r="3" spans="2:28" ht="13.5" thickBot="1"/>
    <row r="4" spans="2:28" ht="14.25" thickTop="1" thickBot="1">
      <c r="B4" s="87" t="s">
        <v>79</v>
      </c>
      <c r="C4" s="147" t="s">
        <v>80</v>
      </c>
      <c r="D4" s="35"/>
      <c r="O4" s="3" t="s">
        <v>95</v>
      </c>
      <c r="Q4" s="62">
        <v>0.05</v>
      </c>
      <c r="R4" s="11" t="s">
        <v>96</v>
      </c>
    </row>
    <row r="5" spans="2:28" ht="13.5" thickTop="1"/>
    <row r="6" spans="2:28" ht="32.25" customHeight="1">
      <c r="B6" s="264"/>
      <c r="C6" s="265" t="s">
        <v>0</v>
      </c>
      <c r="D6" s="265" t="s">
        <v>48</v>
      </c>
      <c r="E6" s="265" t="s">
        <v>49</v>
      </c>
      <c r="F6" s="265" t="s">
        <v>50</v>
      </c>
      <c r="G6" s="267" t="s">
        <v>26</v>
      </c>
      <c r="H6" s="268"/>
      <c r="I6" s="268"/>
      <c r="J6" s="268"/>
      <c r="K6" s="269"/>
      <c r="L6" s="262" t="s">
        <v>53</v>
      </c>
      <c r="O6" s="265" t="s">
        <v>0</v>
      </c>
      <c r="P6" s="265" t="s">
        <v>5</v>
      </c>
      <c r="Q6" s="265" t="s">
        <v>49</v>
      </c>
      <c r="R6" s="265" t="s">
        <v>50</v>
      </c>
      <c r="S6" s="278" t="s">
        <v>26</v>
      </c>
      <c r="T6" s="279"/>
      <c r="U6" s="279"/>
      <c r="V6" s="279"/>
      <c r="W6" s="280"/>
      <c r="X6" s="265" t="s">
        <v>42</v>
      </c>
      <c r="Y6" s="265" t="s">
        <v>52</v>
      </c>
    </row>
    <row r="7" spans="2:28">
      <c r="B7" s="264"/>
      <c r="C7" s="266"/>
      <c r="D7" s="266"/>
      <c r="E7" s="266"/>
      <c r="F7" s="266"/>
      <c r="G7" s="67">
        <v>1</v>
      </c>
      <c r="H7" s="67">
        <v>2</v>
      </c>
      <c r="I7" s="67">
        <v>3</v>
      </c>
      <c r="J7" s="67">
        <v>4</v>
      </c>
      <c r="K7" s="67">
        <v>5</v>
      </c>
      <c r="L7" s="263"/>
      <c r="O7" s="266"/>
      <c r="P7" s="266"/>
      <c r="Q7" s="266"/>
      <c r="R7" s="266"/>
      <c r="S7" s="68">
        <v>1</v>
      </c>
      <c r="T7" s="68">
        <v>2</v>
      </c>
      <c r="U7" s="68">
        <v>3</v>
      </c>
      <c r="V7" s="68">
        <v>4</v>
      </c>
      <c r="W7" s="68">
        <v>5</v>
      </c>
      <c r="X7" s="266"/>
      <c r="Y7" s="266"/>
    </row>
    <row r="8" spans="2:28" s="1" customFormat="1" ht="13.5" thickBot="1">
      <c r="B8" s="24"/>
      <c r="C8" s="25"/>
      <c r="D8" s="26"/>
      <c r="E8" s="26"/>
      <c r="F8" s="26"/>
      <c r="G8" s="26"/>
      <c r="H8" s="26"/>
      <c r="I8" s="26"/>
      <c r="J8" s="26"/>
      <c r="K8" s="26"/>
      <c r="L8" s="27"/>
      <c r="O8" s="276" t="s">
        <v>9</v>
      </c>
      <c r="P8" s="276"/>
      <c r="Q8" s="277"/>
      <c r="R8" s="276"/>
      <c r="S8" s="276"/>
      <c r="T8" s="276"/>
      <c r="U8" s="276"/>
      <c r="V8" s="276"/>
      <c r="W8" s="276"/>
      <c r="X8" s="276"/>
      <c r="Y8" s="276"/>
      <c r="Z8" s="11"/>
      <c r="AA8" s="11"/>
      <c r="AB8" s="11"/>
    </row>
    <row r="9" spans="2:28" ht="15" customHeight="1" thickTop="1" thickBot="1">
      <c r="B9" s="258" t="s">
        <v>2</v>
      </c>
      <c r="C9" s="258"/>
      <c r="D9" s="109">
        <v>145</v>
      </c>
      <c r="E9" s="62">
        <v>1</v>
      </c>
      <c r="F9" s="109">
        <f>+D9*E9</f>
        <v>145</v>
      </c>
      <c r="G9" s="110">
        <f>$F$9*4380/1000</f>
        <v>635.1</v>
      </c>
      <c r="H9" s="111">
        <f>G9*2</f>
        <v>1270.2</v>
      </c>
      <c r="I9" s="110">
        <f>G9*3</f>
        <v>1905.3000000000002</v>
      </c>
      <c r="J9" s="111">
        <f>G9*4</f>
        <v>2540.4</v>
      </c>
      <c r="K9" s="110">
        <f>G9*5</f>
        <v>3175.5</v>
      </c>
      <c r="L9" s="109">
        <v>6000</v>
      </c>
      <c r="O9" s="28" t="s">
        <v>2</v>
      </c>
      <c r="P9" s="30">
        <f>F9</f>
        <v>145</v>
      </c>
      <c r="Q9" s="62">
        <v>1</v>
      </c>
      <c r="R9" s="18">
        <f>+P9*Q9</f>
        <v>145</v>
      </c>
      <c r="S9" s="10">
        <f>4380/1000*R$9</f>
        <v>635.1</v>
      </c>
      <c r="T9" s="9">
        <f>$S$9*T7</f>
        <v>1270.2</v>
      </c>
      <c r="U9" s="9">
        <f>$S$9*U7</f>
        <v>1905.3000000000002</v>
      </c>
      <c r="V9" s="9">
        <f t="shared" ref="V9" si="0">$S$9*V7</f>
        <v>2540.4</v>
      </c>
      <c r="W9" s="9">
        <f>$S$9*W7</f>
        <v>3175.5</v>
      </c>
      <c r="X9" s="30">
        <f>L9</f>
        <v>6000</v>
      </c>
      <c r="Y9" s="22">
        <f>X9/12/365</f>
        <v>1.3698630136986301</v>
      </c>
    </row>
    <row r="10" spans="2:28" ht="12.75" customHeight="1" thickTop="1" thickBot="1">
      <c r="B10" s="260" t="s">
        <v>7</v>
      </c>
      <c r="C10" s="115" t="s">
        <v>12</v>
      </c>
      <c r="D10" s="116">
        <v>83</v>
      </c>
      <c r="E10" s="62">
        <v>1</v>
      </c>
      <c r="F10" s="116">
        <f>+D10*E10</f>
        <v>83</v>
      </c>
      <c r="G10" s="120">
        <f>F10*4380/1000</f>
        <v>363.54</v>
      </c>
      <c r="H10" s="121">
        <f>G10*2</f>
        <v>727.08</v>
      </c>
      <c r="I10" s="120">
        <f>G10*3</f>
        <v>1090.6200000000001</v>
      </c>
      <c r="J10" s="121">
        <f>G10*4</f>
        <v>1454.16</v>
      </c>
      <c r="K10" s="120">
        <f>G10*5</f>
        <v>1817.7</v>
      </c>
      <c r="L10" s="116">
        <v>28000</v>
      </c>
      <c r="O10" s="276" t="s">
        <v>24</v>
      </c>
      <c r="P10" s="276"/>
      <c r="Q10" s="285"/>
      <c r="R10" s="276"/>
      <c r="S10" s="276"/>
      <c r="T10" s="276"/>
      <c r="U10" s="276"/>
      <c r="V10" s="276"/>
      <c r="W10" s="276"/>
      <c r="X10" s="276"/>
      <c r="Y10" s="276"/>
    </row>
    <row r="11" spans="2:28" ht="13.5" thickTop="1">
      <c r="B11" s="260"/>
      <c r="C11" s="117" t="s">
        <v>6</v>
      </c>
      <c r="D11" s="118">
        <f t="shared" ref="D11:K11" si="1">D9-D10</f>
        <v>62</v>
      </c>
      <c r="E11" s="113"/>
      <c r="F11" s="118">
        <f t="shared" si="1"/>
        <v>62</v>
      </c>
      <c r="G11" s="122">
        <f>G9-G10</f>
        <v>271.56</v>
      </c>
      <c r="H11" s="122">
        <f t="shared" si="1"/>
        <v>543.12</v>
      </c>
      <c r="I11" s="122">
        <f t="shared" si="1"/>
        <v>814.68000000000006</v>
      </c>
      <c r="J11" s="122">
        <f t="shared" si="1"/>
        <v>1086.24</v>
      </c>
      <c r="K11" s="122">
        <f t="shared" si="1"/>
        <v>1357.8</v>
      </c>
      <c r="L11" s="117"/>
      <c r="O11" s="28" t="s">
        <v>27</v>
      </c>
      <c r="P11" s="8">
        <f>F10</f>
        <v>83</v>
      </c>
      <c r="Q11" s="8">
        <f>Q9</f>
        <v>1</v>
      </c>
      <c r="R11" s="7">
        <f>+P11*Q11</f>
        <v>83</v>
      </c>
      <c r="S11" s="10">
        <f>4380/1000*R$11</f>
        <v>363.53999999999996</v>
      </c>
      <c r="T11" s="10">
        <f>$S$11*T7</f>
        <v>727.07999999999993</v>
      </c>
      <c r="U11" s="10">
        <f t="shared" ref="U11:V11" si="2">$S$11*U7</f>
        <v>1090.6199999999999</v>
      </c>
      <c r="V11" s="10">
        <f t="shared" si="2"/>
        <v>1454.1599999999999</v>
      </c>
      <c r="W11" s="10">
        <f>$S$11*W7</f>
        <v>1817.6999999999998</v>
      </c>
      <c r="X11" s="30">
        <f>L10</f>
        <v>28000</v>
      </c>
      <c r="Y11" s="22">
        <f>X11/12/365</f>
        <v>6.3926940639269407</v>
      </c>
    </row>
    <row r="12" spans="2:28">
      <c r="B12" s="260"/>
      <c r="C12" s="115" t="s">
        <v>8</v>
      </c>
      <c r="D12" s="119"/>
      <c r="E12" s="114"/>
      <c r="F12" s="119"/>
      <c r="G12" s="123">
        <f>100-(G10/G9)*100</f>
        <v>42.758620689655167</v>
      </c>
      <c r="H12" s="123">
        <f>100-(H10/H9)*100</f>
        <v>42.758620689655167</v>
      </c>
      <c r="I12" s="123">
        <f>100-(I10/I9)*100</f>
        <v>42.758620689655167</v>
      </c>
      <c r="J12" s="123">
        <f>100-(J10/J9)*100</f>
        <v>42.758620689655167</v>
      </c>
      <c r="K12" s="123">
        <f>100-(K10/K9)*100</f>
        <v>42.758620689655167</v>
      </c>
      <c r="L12" s="115"/>
      <c r="O12" s="289" t="s">
        <v>28</v>
      </c>
      <c r="P12" s="289"/>
      <c r="Q12" s="289"/>
      <c r="R12" s="289"/>
      <c r="S12" s="289"/>
      <c r="T12" s="289"/>
      <c r="U12" s="289"/>
      <c r="V12" s="289"/>
      <c r="W12" s="289"/>
      <c r="X12" s="82">
        <f>100-(X9/X11)*100</f>
        <v>78.571428571428569</v>
      </c>
      <c r="Y12" s="29" t="s">
        <v>25</v>
      </c>
    </row>
    <row r="13" spans="2:28">
      <c r="B13" s="260"/>
      <c r="C13" s="115" t="s">
        <v>11</v>
      </c>
      <c r="D13" s="115"/>
      <c r="E13" s="115"/>
      <c r="F13" s="112"/>
      <c r="G13" s="112"/>
      <c r="H13" s="112"/>
      <c r="I13" s="112"/>
      <c r="J13" s="112"/>
      <c r="K13" s="112"/>
      <c r="L13" s="121">
        <f>100-(L9/L10)*100</f>
        <v>78.571428571428569</v>
      </c>
    </row>
    <row r="14" spans="2:28" s="1" customFormat="1" ht="13.5" thickBot="1">
      <c r="B14" s="64"/>
      <c r="C14" s="65"/>
      <c r="D14" s="65"/>
      <c r="E14" s="65"/>
      <c r="F14" s="65"/>
      <c r="G14" s="65"/>
      <c r="H14" s="65"/>
      <c r="I14" s="65"/>
      <c r="J14" s="65"/>
      <c r="K14" s="65"/>
      <c r="L14" s="66"/>
      <c r="O14" s="281" t="s">
        <v>0</v>
      </c>
      <c r="P14" s="282" t="s">
        <v>29</v>
      </c>
      <c r="Q14" s="282"/>
      <c r="R14" s="283" t="s">
        <v>30</v>
      </c>
      <c r="S14" s="283"/>
      <c r="T14" s="283"/>
      <c r="U14" s="283"/>
      <c r="V14" s="283"/>
      <c r="W14" s="283"/>
      <c r="X14" s="11"/>
      <c r="Y14" s="11"/>
      <c r="Z14" s="11"/>
      <c r="AA14" s="11"/>
      <c r="AB14" s="11"/>
    </row>
    <row r="15" spans="2:28" ht="15" customHeight="1" thickTop="1" thickBot="1">
      <c r="B15" s="258" t="s">
        <v>2</v>
      </c>
      <c r="C15" s="258"/>
      <c r="D15" s="109">
        <v>145</v>
      </c>
      <c r="E15" s="62">
        <v>1</v>
      </c>
      <c r="F15" s="109">
        <f>+D15*E15</f>
        <v>145</v>
      </c>
      <c r="G15" s="110">
        <f>D15*4380/1000</f>
        <v>635.1</v>
      </c>
      <c r="H15" s="111">
        <f>G15*2</f>
        <v>1270.2</v>
      </c>
      <c r="I15" s="110">
        <f>G15*3</f>
        <v>1905.3000000000002</v>
      </c>
      <c r="J15" s="111">
        <f>G15*4</f>
        <v>2540.4</v>
      </c>
      <c r="K15" s="110">
        <f>G15*5</f>
        <v>3175.5</v>
      </c>
      <c r="L15" s="109">
        <v>6000</v>
      </c>
      <c r="O15" s="281"/>
      <c r="P15" s="282"/>
      <c r="Q15" s="282"/>
      <c r="R15" s="68">
        <v>0</v>
      </c>
      <c r="S15" s="73">
        <v>1</v>
      </c>
      <c r="T15" s="73">
        <v>2</v>
      </c>
      <c r="U15" s="73">
        <v>3</v>
      </c>
      <c r="V15" s="73">
        <v>4</v>
      </c>
      <c r="W15" s="73">
        <v>5</v>
      </c>
    </row>
    <row r="16" spans="2:28" ht="12.75" customHeight="1" thickTop="1" thickBot="1">
      <c r="B16" s="261" t="s">
        <v>7</v>
      </c>
      <c r="C16" s="124" t="s">
        <v>13</v>
      </c>
      <c r="D16" s="125">
        <v>70</v>
      </c>
      <c r="E16" s="62">
        <v>1</v>
      </c>
      <c r="F16" s="125">
        <f>+D16*E16</f>
        <v>70</v>
      </c>
      <c r="G16" s="132">
        <f>D16*4380/1000</f>
        <v>306.60000000000002</v>
      </c>
      <c r="H16" s="131">
        <f>G16*2</f>
        <v>613.20000000000005</v>
      </c>
      <c r="I16" s="132">
        <f>G16*3</f>
        <v>919.80000000000007</v>
      </c>
      <c r="J16" s="131">
        <f>G16*4</f>
        <v>1226.4000000000001</v>
      </c>
      <c r="K16" s="132">
        <f>G16*5</f>
        <v>1533</v>
      </c>
      <c r="L16" s="125">
        <v>29000</v>
      </c>
      <c r="O16" s="270" t="s">
        <v>2</v>
      </c>
      <c r="P16" s="271"/>
      <c r="Q16" s="271"/>
      <c r="R16" s="271"/>
      <c r="S16" s="271"/>
      <c r="T16" s="271"/>
      <c r="U16" s="271"/>
      <c r="V16" s="271"/>
      <c r="W16" s="272"/>
    </row>
    <row r="17" spans="2:28" ht="13.5" thickTop="1">
      <c r="B17" s="261"/>
      <c r="C17" s="126" t="s">
        <v>6</v>
      </c>
      <c r="D17" s="127">
        <f>D15-D16</f>
        <v>75</v>
      </c>
      <c r="E17" s="127"/>
      <c r="F17" s="127"/>
      <c r="G17" s="129">
        <f t="shared" ref="G17:K17" si="3">G15-G16</f>
        <v>328.5</v>
      </c>
      <c r="H17" s="129">
        <f t="shared" si="3"/>
        <v>657</v>
      </c>
      <c r="I17" s="129">
        <f t="shared" si="3"/>
        <v>985.50000000000011</v>
      </c>
      <c r="J17" s="129">
        <f t="shared" si="3"/>
        <v>1314</v>
      </c>
      <c r="K17" s="129">
        <f t="shared" si="3"/>
        <v>1642.5</v>
      </c>
      <c r="L17" s="126"/>
      <c r="O17" s="4" t="s">
        <v>31</v>
      </c>
      <c r="P17" s="17"/>
      <c r="Q17" s="18"/>
      <c r="R17" s="7"/>
      <c r="S17" s="14">
        <f>+S9*$Q$4</f>
        <v>31.755000000000003</v>
      </c>
      <c r="T17" s="14">
        <f t="shared" ref="T17:W17" si="4">+T9*$Q$4</f>
        <v>63.510000000000005</v>
      </c>
      <c r="U17" s="14">
        <f t="shared" si="4"/>
        <v>95.265000000000015</v>
      </c>
      <c r="V17" s="14">
        <f t="shared" si="4"/>
        <v>127.02000000000001</v>
      </c>
      <c r="W17" s="14">
        <f t="shared" si="4"/>
        <v>158.77500000000001</v>
      </c>
    </row>
    <row r="18" spans="2:28">
      <c r="B18" s="261"/>
      <c r="C18" s="124" t="s">
        <v>8</v>
      </c>
      <c r="D18" s="128"/>
      <c r="E18" s="128"/>
      <c r="F18" s="128"/>
      <c r="G18" s="130">
        <f>100-(G16/G15)*100</f>
        <v>51.724137931034484</v>
      </c>
      <c r="H18" s="130">
        <f t="shared" ref="H18:K18" si="5">100-(H16/H15)*100</f>
        <v>51.724137931034484</v>
      </c>
      <c r="I18" s="130">
        <f t="shared" si="5"/>
        <v>51.724137931034484</v>
      </c>
      <c r="J18" s="130">
        <f t="shared" si="5"/>
        <v>51.724137931034484</v>
      </c>
      <c r="K18" s="130">
        <f t="shared" si="5"/>
        <v>51.724137931034484</v>
      </c>
      <c r="L18" s="124"/>
      <c r="O18" s="4" t="s">
        <v>32</v>
      </c>
      <c r="P18" s="8">
        <f>25*Q9</f>
        <v>25</v>
      </c>
      <c r="Q18" s="22">
        <f>Y9</f>
        <v>1.3698630136986301</v>
      </c>
      <c r="R18" s="7"/>
      <c r="S18" s="14">
        <f>$P$18*R15</f>
        <v>0</v>
      </c>
      <c r="T18" s="14">
        <f>$P$18*S15</f>
        <v>25</v>
      </c>
      <c r="U18" s="14">
        <f>$P$18*T15</f>
        <v>50</v>
      </c>
      <c r="V18" s="14">
        <f>$P$18*U15</f>
        <v>75</v>
      </c>
      <c r="W18" s="14">
        <f>$P$18*V15</f>
        <v>100</v>
      </c>
    </row>
    <row r="19" spans="2:28">
      <c r="B19" s="261"/>
      <c r="C19" s="124" t="s">
        <v>11</v>
      </c>
      <c r="D19" s="124"/>
      <c r="E19" s="124"/>
      <c r="F19" s="124"/>
      <c r="G19" s="124"/>
      <c r="H19" s="124"/>
      <c r="I19" s="124"/>
      <c r="J19" s="124"/>
      <c r="K19" s="124"/>
      <c r="L19" s="131">
        <f>100-(L15/L16)*100</f>
        <v>79.310344827586206</v>
      </c>
      <c r="O19" s="286" t="s">
        <v>33</v>
      </c>
      <c r="P19" s="287"/>
      <c r="Q19" s="288"/>
      <c r="R19" s="5"/>
      <c r="S19" s="15">
        <f>S17+S18</f>
        <v>31.755000000000003</v>
      </c>
      <c r="T19" s="15">
        <f t="shared" ref="T19:W19" si="6">T17+T18</f>
        <v>88.51</v>
      </c>
      <c r="U19" s="15">
        <f t="shared" si="6"/>
        <v>145.26500000000001</v>
      </c>
      <c r="V19" s="15">
        <f t="shared" si="6"/>
        <v>202.02</v>
      </c>
      <c r="W19" s="15">
        <f t="shared" si="6"/>
        <v>258.77499999999998</v>
      </c>
    </row>
    <row r="20" spans="2:28" s="1" customFormat="1" ht="13.5" thickBot="1">
      <c r="B20" s="64"/>
      <c r="C20" s="65"/>
      <c r="D20" s="65"/>
      <c r="E20" s="65"/>
      <c r="F20" s="65"/>
      <c r="G20" s="65"/>
      <c r="H20" s="65"/>
      <c r="I20" s="65"/>
      <c r="J20" s="65"/>
      <c r="K20" s="65"/>
      <c r="L20" s="66"/>
      <c r="O20" s="270" t="s">
        <v>27</v>
      </c>
      <c r="P20" s="271"/>
      <c r="Q20" s="271"/>
      <c r="R20" s="271"/>
      <c r="S20" s="271"/>
      <c r="T20" s="271"/>
      <c r="U20" s="271"/>
      <c r="V20" s="271"/>
      <c r="W20" s="272"/>
      <c r="X20" s="11"/>
      <c r="Y20" s="11"/>
      <c r="Z20" s="11"/>
      <c r="AA20" s="11"/>
      <c r="AB20" s="11"/>
    </row>
    <row r="21" spans="2:28" ht="15" customHeight="1" thickTop="1" thickBot="1">
      <c r="B21" s="258" t="s">
        <v>2</v>
      </c>
      <c r="C21" s="258"/>
      <c r="D21" s="109">
        <v>145</v>
      </c>
      <c r="E21" s="62">
        <v>1</v>
      </c>
      <c r="F21" s="109">
        <f>+D21*E21</f>
        <v>145</v>
      </c>
      <c r="G21" s="110">
        <f>D21*4380/1000</f>
        <v>635.1</v>
      </c>
      <c r="H21" s="111">
        <f>G21*2</f>
        <v>1270.2</v>
      </c>
      <c r="I21" s="110">
        <f>G21*3</f>
        <v>1905.3000000000002</v>
      </c>
      <c r="J21" s="111">
        <f>G21*4</f>
        <v>2540.4</v>
      </c>
      <c r="K21" s="110">
        <f>G21*5</f>
        <v>3175.5</v>
      </c>
      <c r="L21" s="109">
        <v>6000</v>
      </c>
      <c r="O21" s="273" t="s">
        <v>34</v>
      </c>
      <c r="P21" s="274"/>
      <c r="Q21" s="275"/>
      <c r="R21" s="8">
        <f>89*Q9</f>
        <v>89</v>
      </c>
      <c r="S21" s="5"/>
      <c r="T21" s="5"/>
      <c r="U21" s="5"/>
      <c r="V21" s="5"/>
      <c r="W21" s="5"/>
    </row>
    <row r="22" spans="2:28" ht="12.75" customHeight="1" thickTop="1" thickBot="1">
      <c r="B22" s="257" t="s">
        <v>7</v>
      </c>
      <c r="C22" s="106" t="s">
        <v>19</v>
      </c>
      <c r="D22" s="98">
        <v>50</v>
      </c>
      <c r="E22" s="62">
        <v>1</v>
      </c>
      <c r="F22" s="98">
        <f>+D22*E22</f>
        <v>50</v>
      </c>
      <c r="G22" s="99">
        <f>D22*4380/1000</f>
        <v>219</v>
      </c>
      <c r="H22" s="100">
        <f>G22*2</f>
        <v>438</v>
      </c>
      <c r="I22" s="99">
        <f>G22*3</f>
        <v>657</v>
      </c>
      <c r="J22" s="100">
        <f>G22*4</f>
        <v>876</v>
      </c>
      <c r="K22" s="99">
        <f>G22*5</f>
        <v>1095</v>
      </c>
      <c r="L22" s="98">
        <v>50000</v>
      </c>
      <c r="O22" s="273" t="s">
        <v>31</v>
      </c>
      <c r="P22" s="274"/>
      <c r="Q22" s="275"/>
      <c r="R22" s="7"/>
      <c r="S22" s="14">
        <f>+S11*$Q$4</f>
        <v>18.177</v>
      </c>
      <c r="T22" s="14">
        <f t="shared" ref="T22:W22" si="7">+T11*$Q$4</f>
        <v>36.353999999999999</v>
      </c>
      <c r="U22" s="14">
        <f t="shared" si="7"/>
        <v>54.530999999999999</v>
      </c>
      <c r="V22" s="14">
        <f t="shared" si="7"/>
        <v>72.707999999999998</v>
      </c>
      <c r="W22" s="14">
        <f t="shared" si="7"/>
        <v>90.884999999999991</v>
      </c>
    </row>
    <row r="23" spans="2:28" ht="13.5" thickTop="1">
      <c r="B23" s="257"/>
      <c r="C23" s="103" t="s">
        <v>6</v>
      </c>
      <c r="D23" s="101">
        <f>D21-D22</f>
        <v>95</v>
      </c>
      <c r="E23" s="101"/>
      <c r="F23" s="101"/>
      <c r="G23" s="102">
        <f t="shared" ref="G23:K23" si="8">G21-G22</f>
        <v>416.1</v>
      </c>
      <c r="H23" s="102">
        <f t="shared" si="8"/>
        <v>832.2</v>
      </c>
      <c r="I23" s="102">
        <f t="shared" si="8"/>
        <v>1248.3000000000002</v>
      </c>
      <c r="J23" s="102">
        <f t="shared" si="8"/>
        <v>1664.4</v>
      </c>
      <c r="K23" s="102">
        <f t="shared" si="8"/>
        <v>2080.5</v>
      </c>
      <c r="L23" s="103"/>
      <c r="O23" s="4" t="s">
        <v>32</v>
      </c>
      <c r="P23" s="8">
        <f>32*Q9</f>
        <v>32</v>
      </c>
      <c r="Q23" s="22">
        <f>Y11</f>
        <v>6.3926940639269407</v>
      </c>
      <c r="R23" s="7"/>
      <c r="S23" s="14">
        <v>0</v>
      </c>
      <c r="T23" s="14">
        <v>0</v>
      </c>
      <c r="U23" s="14">
        <v>0</v>
      </c>
      <c r="V23" s="14">
        <v>0</v>
      </c>
      <c r="W23" s="14">
        <v>0</v>
      </c>
    </row>
    <row r="24" spans="2:28">
      <c r="B24" s="257"/>
      <c r="C24" s="106" t="s">
        <v>8</v>
      </c>
      <c r="D24" s="104"/>
      <c r="E24" s="104"/>
      <c r="F24" s="104"/>
      <c r="G24" s="105">
        <f>100-(G22/G21)*100</f>
        <v>65.517241379310349</v>
      </c>
      <c r="H24" s="105">
        <f t="shared" ref="H24:K24" si="9">100-(H22/H21)*100</f>
        <v>65.517241379310349</v>
      </c>
      <c r="I24" s="105">
        <f t="shared" si="9"/>
        <v>65.517241379310349</v>
      </c>
      <c r="J24" s="105">
        <f t="shared" si="9"/>
        <v>65.517241379310349</v>
      </c>
      <c r="K24" s="105">
        <f t="shared" si="9"/>
        <v>65.517241379310349</v>
      </c>
      <c r="L24" s="106"/>
      <c r="O24" s="286" t="s">
        <v>33</v>
      </c>
      <c r="P24" s="287"/>
      <c r="Q24" s="288"/>
      <c r="R24" s="6"/>
      <c r="S24" s="16">
        <f t="shared" ref="S24:W24" si="10">S22+S23</f>
        <v>18.177</v>
      </c>
      <c r="T24" s="16">
        <f t="shared" si="10"/>
        <v>36.353999999999999</v>
      </c>
      <c r="U24" s="16">
        <f t="shared" si="10"/>
        <v>54.530999999999999</v>
      </c>
      <c r="V24" s="16">
        <f t="shared" si="10"/>
        <v>72.707999999999998</v>
      </c>
      <c r="W24" s="16">
        <f t="shared" si="10"/>
        <v>90.884999999999991</v>
      </c>
    </row>
    <row r="25" spans="2:28">
      <c r="B25" s="257"/>
      <c r="C25" s="106" t="s">
        <v>11</v>
      </c>
      <c r="D25" s="106"/>
      <c r="E25" s="106"/>
      <c r="F25" s="106"/>
      <c r="G25" s="106"/>
      <c r="H25" s="106"/>
      <c r="I25" s="106"/>
      <c r="J25" s="106"/>
      <c r="K25" s="106"/>
      <c r="L25" s="100">
        <f>100-(L21/L22)*100</f>
        <v>88</v>
      </c>
      <c r="O25" s="286" t="s">
        <v>35</v>
      </c>
      <c r="P25" s="287"/>
      <c r="Q25" s="288"/>
      <c r="R25" s="6">
        <f>R21</f>
        <v>89</v>
      </c>
      <c r="S25" s="16">
        <f>$R$25+S24</f>
        <v>107.17699999999999</v>
      </c>
      <c r="T25" s="16">
        <f t="shared" ref="T25:W25" si="11">$R$25+T24</f>
        <v>125.354</v>
      </c>
      <c r="U25" s="16">
        <f t="shared" si="11"/>
        <v>143.53100000000001</v>
      </c>
      <c r="V25" s="16">
        <f t="shared" si="11"/>
        <v>161.708</v>
      </c>
      <c r="W25" s="16">
        <f t="shared" si="11"/>
        <v>179.88499999999999</v>
      </c>
    </row>
    <row r="26" spans="2:28" s="1" customFormat="1" ht="13.5" thickBot="1">
      <c r="B26" s="64"/>
      <c r="C26" s="65"/>
      <c r="D26" s="65"/>
      <c r="E26" s="107"/>
      <c r="F26" s="107"/>
      <c r="G26" s="107"/>
      <c r="H26" s="107"/>
      <c r="I26" s="107"/>
      <c r="J26" s="107"/>
      <c r="K26" s="107"/>
      <c r="L26" s="108"/>
      <c r="O26" s="286" t="s">
        <v>36</v>
      </c>
      <c r="P26" s="287"/>
      <c r="Q26" s="288"/>
      <c r="R26" s="76">
        <f>0-R25</f>
        <v>-89</v>
      </c>
      <c r="S26" s="77">
        <f>S19-S25</f>
        <v>-75.421999999999997</v>
      </c>
      <c r="T26" s="77">
        <f t="shared" ref="T26:W26" si="12">T19-T25</f>
        <v>-36.843999999999994</v>
      </c>
      <c r="U26" s="77">
        <f t="shared" si="12"/>
        <v>1.7340000000000089</v>
      </c>
      <c r="V26" s="77">
        <f t="shared" si="12"/>
        <v>40.312000000000012</v>
      </c>
      <c r="W26" s="77">
        <f t="shared" si="12"/>
        <v>78.889999999999986</v>
      </c>
      <c r="X26" s="11"/>
      <c r="Y26" s="11"/>
      <c r="Z26" s="11"/>
      <c r="AA26" s="11"/>
      <c r="AB26" s="11"/>
    </row>
    <row r="27" spans="2:28" ht="15" customHeight="1" thickTop="1" thickBot="1">
      <c r="B27" s="258" t="s">
        <v>2</v>
      </c>
      <c r="C27" s="258"/>
      <c r="D27" s="109">
        <v>145</v>
      </c>
      <c r="E27" s="62">
        <v>1</v>
      </c>
      <c r="F27" s="109">
        <f>+D27*E27</f>
        <v>145</v>
      </c>
      <c r="G27" s="110">
        <f>D27*4380/1000</f>
        <v>635.1</v>
      </c>
      <c r="H27" s="111">
        <f>G27*2</f>
        <v>1270.2</v>
      </c>
      <c r="I27" s="110">
        <f>G27*3</f>
        <v>1905.3000000000002</v>
      </c>
      <c r="J27" s="111">
        <f>G27*4</f>
        <v>2540.4</v>
      </c>
      <c r="K27" s="110">
        <f>G27*5</f>
        <v>3175.5</v>
      </c>
      <c r="L27" s="109">
        <v>6000</v>
      </c>
    </row>
    <row r="28" spans="2:28" ht="12.75" customHeight="1" thickTop="1" thickBot="1">
      <c r="B28" s="259" t="s">
        <v>7</v>
      </c>
      <c r="C28" s="89" t="s">
        <v>55</v>
      </c>
      <c r="D28" s="90">
        <v>83</v>
      </c>
      <c r="E28" s="62">
        <v>1</v>
      </c>
      <c r="F28" s="90">
        <f>+D28*E28</f>
        <v>83</v>
      </c>
      <c r="G28" s="97">
        <f>D28*4380/1000</f>
        <v>363.54</v>
      </c>
      <c r="H28" s="96">
        <f>G28*2</f>
        <v>727.08</v>
      </c>
      <c r="I28" s="97">
        <f>G28*3</f>
        <v>1090.6200000000001</v>
      </c>
      <c r="J28" s="96">
        <f>G28*4</f>
        <v>1454.16</v>
      </c>
      <c r="K28" s="97">
        <f>G28*5</f>
        <v>1817.7</v>
      </c>
      <c r="L28" s="90">
        <v>10000</v>
      </c>
      <c r="O28" s="21"/>
      <c r="P28" s="23"/>
      <c r="Q28" s="2"/>
      <c r="R28" s="2"/>
      <c r="S28" s="2"/>
      <c r="T28" s="2"/>
      <c r="U28" s="2"/>
      <c r="V28" s="2"/>
    </row>
    <row r="29" spans="2:28" ht="14.25" thickTop="1" thickBot="1">
      <c r="B29" s="259"/>
      <c r="C29" s="91" t="s">
        <v>6</v>
      </c>
      <c r="D29" s="92">
        <f>D27-D28</f>
        <v>62</v>
      </c>
      <c r="E29" s="92"/>
      <c r="F29" s="92"/>
      <c r="G29" s="94">
        <f t="shared" ref="G29:K29" si="13">G27-G28</f>
        <v>271.56</v>
      </c>
      <c r="H29" s="94">
        <f t="shared" si="13"/>
        <v>543.12</v>
      </c>
      <c r="I29" s="94">
        <f t="shared" si="13"/>
        <v>814.68000000000006</v>
      </c>
      <c r="J29" s="94">
        <f t="shared" si="13"/>
        <v>1086.24</v>
      </c>
      <c r="K29" s="94">
        <f t="shared" si="13"/>
        <v>1357.8</v>
      </c>
      <c r="L29" s="91"/>
      <c r="O29" s="57" t="s">
        <v>37</v>
      </c>
      <c r="P29" s="78"/>
      <c r="Q29" s="78"/>
      <c r="R29" s="62">
        <v>3</v>
      </c>
      <c r="S29" s="79" t="s">
        <v>38</v>
      </c>
      <c r="T29" s="63" t="s">
        <v>51</v>
      </c>
      <c r="U29" s="2"/>
      <c r="V29" s="2"/>
    </row>
    <row r="30" spans="2:28" ht="13.5" thickTop="1">
      <c r="B30" s="259"/>
      <c r="C30" s="89" t="s">
        <v>8</v>
      </c>
      <c r="D30" s="93"/>
      <c r="E30" s="93"/>
      <c r="F30" s="93"/>
      <c r="G30" s="95">
        <f>100-(G28/G27)*100</f>
        <v>42.758620689655167</v>
      </c>
      <c r="H30" s="95">
        <f t="shared" ref="H30:K30" si="14">100-(H28/H27)*100</f>
        <v>42.758620689655167</v>
      </c>
      <c r="I30" s="95">
        <f t="shared" si="14"/>
        <v>42.758620689655167</v>
      </c>
      <c r="J30" s="95">
        <f t="shared" si="14"/>
        <v>42.758620689655167</v>
      </c>
      <c r="K30" s="95">
        <f t="shared" si="14"/>
        <v>42.758620689655167</v>
      </c>
      <c r="L30" s="89"/>
      <c r="O30" s="59" t="s">
        <v>47</v>
      </c>
      <c r="P30" s="78"/>
      <c r="Q30" s="78"/>
      <c r="R30" s="80">
        <f>100-(S22*100)/S17</f>
        <v>42.758620689655174</v>
      </c>
      <c r="S30" s="12" t="s">
        <v>25</v>
      </c>
    </row>
    <row r="31" spans="2:28">
      <c r="B31" s="259"/>
      <c r="C31" s="89" t="s">
        <v>11</v>
      </c>
      <c r="D31" s="89"/>
      <c r="E31" s="89"/>
      <c r="F31" s="89"/>
      <c r="G31" s="89"/>
      <c r="H31" s="89"/>
      <c r="I31" s="89"/>
      <c r="J31" s="89"/>
      <c r="K31" s="89"/>
      <c r="L31" s="96">
        <f>100-(L27/L28)*100</f>
        <v>40</v>
      </c>
      <c r="O31" s="59" t="s">
        <v>39</v>
      </c>
      <c r="P31" s="78"/>
      <c r="Q31" s="78"/>
      <c r="R31" s="80">
        <v>100</v>
      </c>
      <c r="S31" s="12" t="s">
        <v>25</v>
      </c>
    </row>
    <row r="34" spans="15:15">
      <c r="O34" s="48" t="s">
        <v>44</v>
      </c>
    </row>
    <row r="35" spans="15:15">
      <c r="O35" s="48" t="s">
        <v>60</v>
      </c>
    </row>
  </sheetData>
  <dataConsolidate/>
  <mergeCells count="36">
    <mergeCell ref="O26:Q26"/>
    <mergeCell ref="B27:C27"/>
    <mergeCell ref="B28:B31"/>
    <mergeCell ref="O20:W20"/>
    <mergeCell ref="B21:C21"/>
    <mergeCell ref="O21:Q21"/>
    <mergeCell ref="B22:B25"/>
    <mergeCell ref="O22:Q22"/>
    <mergeCell ref="O24:Q24"/>
    <mergeCell ref="O25:Q25"/>
    <mergeCell ref="R14:W14"/>
    <mergeCell ref="B15:C15"/>
    <mergeCell ref="B16:B19"/>
    <mergeCell ref="O16:W16"/>
    <mergeCell ref="O19:Q19"/>
    <mergeCell ref="B6:B7"/>
    <mergeCell ref="C6:C7"/>
    <mergeCell ref="D6:D7"/>
    <mergeCell ref="O14:O15"/>
    <mergeCell ref="P14:Q15"/>
    <mergeCell ref="O8:Y8"/>
    <mergeCell ref="B9:C9"/>
    <mergeCell ref="B10:B13"/>
    <mergeCell ref="O10:Y10"/>
    <mergeCell ref="O12:W12"/>
    <mergeCell ref="E6:E7"/>
    <mergeCell ref="F6:F7"/>
    <mergeCell ref="G6:K6"/>
    <mergeCell ref="X6:X7"/>
    <mergeCell ref="Y6:Y7"/>
    <mergeCell ref="L6:L7"/>
    <mergeCell ref="O6:O7"/>
    <mergeCell ref="P6:P7"/>
    <mergeCell ref="Q6:Q7"/>
    <mergeCell ref="R6:R7"/>
    <mergeCell ref="S6:W6"/>
  </mergeCells>
  <conditionalFormatting sqref="S9:W9">
    <cfRule type="colorScale" priority="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S11:W11">
    <cfRule type="colorScale" priority="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S9:W9 S11:W11">
    <cfRule type="colorScale" priority="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R17:W19 S21:W21 R22:W26">
    <cfRule type="colorScale" priority="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R32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S29 U29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S9:W9 O9:O11 S11:W11">
    <cfRule type="colorScale" priority="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S9:W9">
    <cfRule type="colorScale" priority="1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S11:W11">
    <cfRule type="colorScale" priority="1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S9:W9">
    <cfRule type="colorScale" priority="1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R9:W9 R11:W11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T29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pageSetup paperSize="9" orientation="landscape" r:id="rId1"/>
  <headerFooter>
    <oddHeader>&amp;C&amp;"-,Bold"&amp;U&amp;K03+000PRORAČUN ZAMJENE SIJALICA U JAVNOJ RASVJETI</oddHeader>
    <oddFooter>&amp;L&amp;KC00000GIZ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B1:AB35"/>
  <sheetViews>
    <sheetView showGridLines="0" showWhiteSpace="0" zoomScale="70" zoomScaleNormal="70" workbookViewId="0">
      <selection activeCell="T19" sqref="T19"/>
    </sheetView>
  </sheetViews>
  <sheetFormatPr defaultRowHeight="12.75"/>
  <cols>
    <col min="1" max="1" width="3.7109375" style="11" customWidth="1"/>
    <col min="2" max="2" width="12.42578125" style="11" customWidth="1"/>
    <col min="3" max="3" width="19.7109375" style="11" customWidth="1"/>
    <col min="4" max="12" width="9.42578125" style="11" customWidth="1"/>
    <col min="13" max="13" width="7" style="78" customWidth="1"/>
    <col min="14" max="14" width="3.7109375" style="78" customWidth="1"/>
    <col min="15" max="15" width="19.140625" style="3" customWidth="1"/>
    <col min="16" max="16" width="9.140625" style="11" customWidth="1"/>
    <col min="17" max="17" width="9.140625" style="11"/>
    <col min="18" max="24" width="9.140625" style="11" customWidth="1"/>
    <col min="25" max="25" width="9.140625" style="11"/>
    <col min="26" max="26" width="9.140625" style="11" customWidth="1"/>
    <col min="27" max="27" width="19.5703125" style="11" customWidth="1"/>
    <col min="28" max="16384" width="9.140625" style="11"/>
  </cols>
  <sheetData>
    <row r="1" spans="2:28" ht="12" customHeight="1"/>
    <row r="2" spans="2:28" s="13" customFormat="1" ht="24.75">
      <c r="B2" s="133" t="s">
        <v>64</v>
      </c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5"/>
      <c r="N2" s="135"/>
      <c r="O2" s="133" t="s">
        <v>65</v>
      </c>
      <c r="P2" s="133"/>
      <c r="Q2" s="133"/>
      <c r="R2" s="133"/>
      <c r="S2" s="133"/>
      <c r="T2" s="133"/>
      <c r="U2" s="145"/>
      <c r="V2" s="145"/>
      <c r="W2" s="145"/>
      <c r="X2" s="145"/>
      <c r="Y2" s="145"/>
    </row>
    <row r="3" spans="2:28" ht="13.5" thickBot="1"/>
    <row r="4" spans="2:28" ht="14.25" thickTop="1" thickBot="1">
      <c r="B4" s="87" t="s">
        <v>79</v>
      </c>
      <c r="C4" s="147" t="s">
        <v>80</v>
      </c>
      <c r="D4" s="35"/>
      <c r="O4" s="3" t="s">
        <v>95</v>
      </c>
      <c r="Q4" s="62">
        <v>0.05</v>
      </c>
      <c r="R4" s="11" t="s">
        <v>96</v>
      </c>
    </row>
    <row r="5" spans="2:28" ht="13.5" thickTop="1"/>
    <row r="6" spans="2:28" ht="32.25" customHeight="1">
      <c r="B6" s="264"/>
      <c r="C6" s="265" t="s">
        <v>0</v>
      </c>
      <c r="D6" s="265" t="s">
        <v>48</v>
      </c>
      <c r="E6" s="265" t="s">
        <v>49</v>
      </c>
      <c r="F6" s="265" t="s">
        <v>50</v>
      </c>
      <c r="G6" s="267" t="s">
        <v>26</v>
      </c>
      <c r="H6" s="268"/>
      <c r="I6" s="268"/>
      <c r="J6" s="268"/>
      <c r="K6" s="269"/>
      <c r="L6" s="262" t="s">
        <v>53</v>
      </c>
      <c r="O6" s="265" t="s">
        <v>0</v>
      </c>
      <c r="P6" s="265" t="s">
        <v>5</v>
      </c>
      <c r="Q6" s="265" t="s">
        <v>49</v>
      </c>
      <c r="R6" s="265" t="s">
        <v>50</v>
      </c>
      <c r="S6" s="278" t="s">
        <v>26</v>
      </c>
      <c r="T6" s="279"/>
      <c r="U6" s="279"/>
      <c r="V6" s="279"/>
      <c r="W6" s="280"/>
      <c r="X6" s="265" t="s">
        <v>42</v>
      </c>
      <c r="Y6" s="265" t="s">
        <v>52</v>
      </c>
    </row>
    <row r="7" spans="2:28">
      <c r="B7" s="264"/>
      <c r="C7" s="266"/>
      <c r="D7" s="266"/>
      <c r="E7" s="266"/>
      <c r="F7" s="266"/>
      <c r="G7" s="67">
        <v>1</v>
      </c>
      <c r="H7" s="67">
        <v>2</v>
      </c>
      <c r="I7" s="67">
        <v>3</v>
      </c>
      <c r="J7" s="67">
        <v>4</v>
      </c>
      <c r="K7" s="67">
        <v>5</v>
      </c>
      <c r="L7" s="263"/>
      <c r="O7" s="266"/>
      <c r="P7" s="266"/>
      <c r="Q7" s="266"/>
      <c r="R7" s="266"/>
      <c r="S7" s="68">
        <v>1</v>
      </c>
      <c r="T7" s="68">
        <v>2</v>
      </c>
      <c r="U7" s="68">
        <v>3</v>
      </c>
      <c r="V7" s="68">
        <v>4</v>
      </c>
      <c r="W7" s="68">
        <v>5</v>
      </c>
      <c r="X7" s="266"/>
      <c r="Y7" s="266"/>
    </row>
    <row r="8" spans="2:28" s="1" customFormat="1" ht="13.5" thickBot="1">
      <c r="B8" s="24"/>
      <c r="C8" s="25"/>
      <c r="D8" s="26"/>
      <c r="E8" s="26"/>
      <c r="F8" s="26"/>
      <c r="G8" s="26"/>
      <c r="H8" s="26"/>
      <c r="I8" s="26"/>
      <c r="J8" s="26"/>
      <c r="K8" s="26"/>
      <c r="L8" s="27"/>
      <c r="O8" s="276" t="s">
        <v>9</v>
      </c>
      <c r="P8" s="276"/>
      <c r="Q8" s="277"/>
      <c r="R8" s="276"/>
      <c r="S8" s="276"/>
      <c r="T8" s="276"/>
      <c r="U8" s="276"/>
      <c r="V8" s="276"/>
      <c r="W8" s="276"/>
      <c r="X8" s="276"/>
      <c r="Y8" s="276"/>
      <c r="Z8" s="11"/>
      <c r="AA8" s="11"/>
      <c r="AB8" s="11"/>
    </row>
    <row r="9" spans="2:28" ht="15" customHeight="1" thickTop="1" thickBot="1">
      <c r="B9" s="258" t="s">
        <v>3</v>
      </c>
      <c r="C9" s="258"/>
      <c r="D9" s="109">
        <v>275</v>
      </c>
      <c r="E9" s="62">
        <v>1</v>
      </c>
      <c r="F9" s="109">
        <f>+D9*E9</f>
        <v>275</v>
      </c>
      <c r="G9" s="110">
        <f>$F$9*4380/1000</f>
        <v>1204.5</v>
      </c>
      <c r="H9" s="111">
        <f>G9*2</f>
        <v>2409</v>
      </c>
      <c r="I9" s="110">
        <f>G9*3</f>
        <v>3613.5</v>
      </c>
      <c r="J9" s="111">
        <f>G9*4</f>
        <v>4818</v>
      </c>
      <c r="K9" s="110">
        <f>G9*5</f>
        <v>6022.5</v>
      </c>
      <c r="L9" s="109">
        <v>6000</v>
      </c>
      <c r="O9" s="28" t="s">
        <v>3</v>
      </c>
      <c r="P9" s="30">
        <f>F9</f>
        <v>275</v>
      </c>
      <c r="Q9" s="62">
        <v>1</v>
      </c>
      <c r="R9" s="18">
        <f>+P9*Q9</f>
        <v>275</v>
      </c>
      <c r="S9" s="10">
        <f>4380/1000*R$9</f>
        <v>1204.5</v>
      </c>
      <c r="T9" s="9">
        <f>$S$9*T7</f>
        <v>2409</v>
      </c>
      <c r="U9" s="9">
        <f>$S$9*U7</f>
        <v>3613.5</v>
      </c>
      <c r="V9" s="9">
        <f t="shared" ref="V9" si="0">$S$9*V7</f>
        <v>4818</v>
      </c>
      <c r="W9" s="9">
        <f>$S$9*W7</f>
        <v>6022.5</v>
      </c>
      <c r="X9" s="30">
        <f>L9</f>
        <v>6000</v>
      </c>
      <c r="Y9" s="22">
        <f>X9/12/365</f>
        <v>1.3698630136986301</v>
      </c>
    </row>
    <row r="10" spans="2:28" ht="12.75" customHeight="1" thickTop="1" thickBot="1">
      <c r="B10" s="260" t="s">
        <v>7</v>
      </c>
      <c r="C10" s="115" t="s">
        <v>15</v>
      </c>
      <c r="D10" s="116">
        <v>167</v>
      </c>
      <c r="E10" s="62">
        <v>1</v>
      </c>
      <c r="F10" s="116">
        <f>+D10*E10</f>
        <v>167</v>
      </c>
      <c r="G10" s="120">
        <f>F10*4380/1000</f>
        <v>731.46</v>
      </c>
      <c r="H10" s="121">
        <f>G10*2</f>
        <v>1462.92</v>
      </c>
      <c r="I10" s="120">
        <f>G10*3</f>
        <v>2194.38</v>
      </c>
      <c r="J10" s="121">
        <f>G10*4</f>
        <v>2925.84</v>
      </c>
      <c r="K10" s="120">
        <f>G10*5</f>
        <v>3657.3</v>
      </c>
      <c r="L10" s="116">
        <v>32000</v>
      </c>
      <c r="O10" s="276" t="s">
        <v>24</v>
      </c>
      <c r="P10" s="276"/>
      <c r="Q10" s="285"/>
      <c r="R10" s="276"/>
      <c r="S10" s="276"/>
      <c r="T10" s="276"/>
      <c r="U10" s="276"/>
      <c r="V10" s="276"/>
      <c r="W10" s="276"/>
      <c r="X10" s="276"/>
      <c r="Y10" s="276"/>
    </row>
    <row r="11" spans="2:28" ht="13.5" thickTop="1">
      <c r="B11" s="260"/>
      <c r="C11" s="117" t="s">
        <v>6</v>
      </c>
      <c r="D11" s="118">
        <f t="shared" ref="D11:K11" si="1">D9-D10</f>
        <v>108</v>
      </c>
      <c r="E11" s="113"/>
      <c r="F11" s="118">
        <f t="shared" si="1"/>
        <v>108</v>
      </c>
      <c r="G11" s="122">
        <f>G9-G10</f>
        <v>473.03999999999996</v>
      </c>
      <c r="H11" s="122">
        <f t="shared" si="1"/>
        <v>946.07999999999993</v>
      </c>
      <c r="I11" s="122">
        <f t="shared" si="1"/>
        <v>1419.12</v>
      </c>
      <c r="J11" s="122">
        <f t="shared" si="1"/>
        <v>1892.1599999999999</v>
      </c>
      <c r="K11" s="122">
        <f t="shared" si="1"/>
        <v>2365.1999999999998</v>
      </c>
      <c r="L11" s="117"/>
      <c r="O11" s="28" t="s">
        <v>40</v>
      </c>
      <c r="P11" s="8">
        <f>F10</f>
        <v>167</v>
      </c>
      <c r="Q11" s="8">
        <f>Q9</f>
        <v>1</v>
      </c>
      <c r="R11" s="7">
        <f>+P11*Q11</f>
        <v>167</v>
      </c>
      <c r="S11" s="10">
        <f>4380/1000*R$11</f>
        <v>731.46</v>
      </c>
      <c r="T11" s="10">
        <f>$S$11*T7</f>
        <v>1462.92</v>
      </c>
      <c r="U11" s="10">
        <f t="shared" ref="U11:V11" si="2">$S$11*U7</f>
        <v>2194.38</v>
      </c>
      <c r="V11" s="10">
        <f t="shared" si="2"/>
        <v>2925.84</v>
      </c>
      <c r="W11" s="10">
        <f>$S$11*W7</f>
        <v>3657.3</v>
      </c>
      <c r="X11" s="30">
        <f>L10</f>
        <v>32000</v>
      </c>
      <c r="Y11" s="22">
        <f>X11/12/365</f>
        <v>7.3059360730593603</v>
      </c>
    </row>
    <row r="12" spans="2:28">
      <c r="B12" s="260"/>
      <c r="C12" s="115" t="s">
        <v>8</v>
      </c>
      <c r="D12" s="119"/>
      <c r="E12" s="114"/>
      <c r="F12" s="119"/>
      <c r="G12" s="123">
        <f>100-(G10/G9)*100</f>
        <v>39.272727272727273</v>
      </c>
      <c r="H12" s="123">
        <f>100-(H10/H9)*100</f>
        <v>39.272727272727273</v>
      </c>
      <c r="I12" s="123">
        <f>100-(I10/I9)*100</f>
        <v>39.272727272727273</v>
      </c>
      <c r="J12" s="123">
        <f>100-(J10/J9)*100</f>
        <v>39.272727272727273</v>
      </c>
      <c r="K12" s="123">
        <f>100-(K10/K9)*100</f>
        <v>39.272727272727273</v>
      </c>
      <c r="L12" s="115"/>
      <c r="O12" s="289" t="s">
        <v>28</v>
      </c>
      <c r="P12" s="289"/>
      <c r="Q12" s="289"/>
      <c r="R12" s="289"/>
      <c r="S12" s="289"/>
      <c r="T12" s="289"/>
      <c r="U12" s="289"/>
      <c r="V12" s="289"/>
      <c r="W12" s="289"/>
      <c r="X12" s="82">
        <f>100-(X9/X11)*100</f>
        <v>81.25</v>
      </c>
      <c r="Y12" s="29" t="s">
        <v>25</v>
      </c>
    </row>
    <row r="13" spans="2:28">
      <c r="B13" s="260"/>
      <c r="C13" s="115" t="s">
        <v>11</v>
      </c>
      <c r="D13" s="115"/>
      <c r="E13" s="115"/>
      <c r="F13" s="112"/>
      <c r="G13" s="112"/>
      <c r="H13" s="112"/>
      <c r="I13" s="112"/>
      <c r="J13" s="112"/>
      <c r="K13" s="112"/>
      <c r="L13" s="121">
        <f>100-(L9/L10)*100</f>
        <v>81.25</v>
      </c>
    </row>
    <row r="14" spans="2:28" s="1" customFormat="1" ht="13.5" thickBot="1">
      <c r="B14" s="64"/>
      <c r="C14" s="65"/>
      <c r="D14" s="65"/>
      <c r="E14" s="65"/>
      <c r="F14" s="65"/>
      <c r="G14" s="65"/>
      <c r="H14" s="65"/>
      <c r="I14" s="65"/>
      <c r="J14" s="65"/>
      <c r="K14" s="65"/>
      <c r="L14" s="66"/>
      <c r="O14" s="281" t="s">
        <v>0</v>
      </c>
      <c r="P14" s="282" t="s">
        <v>29</v>
      </c>
      <c r="Q14" s="282"/>
      <c r="R14" s="283" t="s">
        <v>30</v>
      </c>
      <c r="S14" s="283"/>
      <c r="T14" s="283"/>
      <c r="U14" s="283"/>
      <c r="V14" s="283"/>
      <c r="W14" s="283"/>
      <c r="X14" s="11"/>
      <c r="Y14" s="11"/>
      <c r="Z14" s="11"/>
      <c r="AA14" s="11"/>
      <c r="AB14" s="11"/>
    </row>
    <row r="15" spans="2:28" ht="15" customHeight="1" thickTop="1" thickBot="1">
      <c r="B15" s="258" t="s">
        <v>3</v>
      </c>
      <c r="C15" s="258"/>
      <c r="D15" s="109">
        <v>275</v>
      </c>
      <c r="E15" s="62">
        <v>1</v>
      </c>
      <c r="F15" s="109">
        <f>+D15*E15</f>
        <v>275</v>
      </c>
      <c r="G15" s="110">
        <f>D15*4380/1000</f>
        <v>1204.5</v>
      </c>
      <c r="H15" s="111">
        <f>G15*2</f>
        <v>2409</v>
      </c>
      <c r="I15" s="110">
        <f>G15*3</f>
        <v>3613.5</v>
      </c>
      <c r="J15" s="111">
        <f>G15*4</f>
        <v>4818</v>
      </c>
      <c r="K15" s="110">
        <f>G15*5</f>
        <v>6022.5</v>
      </c>
      <c r="L15" s="109">
        <v>6000</v>
      </c>
      <c r="O15" s="281"/>
      <c r="P15" s="282"/>
      <c r="Q15" s="282"/>
      <c r="R15" s="68">
        <v>0</v>
      </c>
      <c r="S15" s="73">
        <v>1</v>
      </c>
      <c r="T15" s="73">
        <v>2</v>
      </c>
      <c r="U15" s="73">
        <v>3</v>
      </c>
      <c r="V15" s="73">
        <v>4</v>
      </c>
      <c r="W15" s="73">
        <v>5</v>
      </c>
    </row>
    <row r="16" spans="2:28" ht="12.75" customHeight="1" thickTop="1" thickBot="1">
      <c r="B16" s="261" t="s">
        <v>7</v>
      </c>
      <c r="C16" s="124" t="s">
        <v>14</v>
      </c>
      <c r="D16" s="125">
        <v>150</v>
      </c>
      <c r="E16" s="62">
        <v>1</v>
      </c>
      <c r="F16" s="125">
        <f>+D16*E16</f>
        <v>150</v>
      </c>
      <c r="G16" s="132">
        <f>D16*4380/1000</f>
        <v>657</v>
      </c>
      <c r="H16" s="131">
        <f>G16*2</f>
        <v>1314</v>
      </c>
      <c r="I16" s="132">
        <f>G16*3</f>
        <v>1971</v>
      </c>
      <c r="J16" s="131">
        <f>G16*4</f>
        <v>2628</v>
      </c>
      <c r="K16" s="132">
        <f>G16*5</f>
        <v>3285</v>
      </c>
      <c r="L16" s="125">
        <v>32000</v>
      </c>
      <c r="O16" s="270" t="s">
        <v>3</v>
      </c>
      <c r="P16" s="271"/>
      <c r="Q16" s="271"/>
      <c r="R16" s="271"/>
      <c r="S16" s="271"/>
      <c r="T16" s="271"/>
      <c r="U16" s="271"/>
      <c r="V16" s="271"/>
      <c r="W16" s="272"/>
    </row>
    <row r="17" spans="2:28" ht="13.5" thickTop="1">
      <c r="B17" s="261"/>
      <c r="C17" s="126" t="s">
        <v>6</v>
      </c>
      <c r="D17" s="127">
        <f>D15-D16</f>
        <v>125</v>
      </c>
      <c r="E17" s="127"/>
      <c r="F17" s="127"/>
      <c r="G17" s="129">
        <f t="shared" ref="G17:K17" si="3">G15-G16</f>
        <v>547.5</v>
      </c>
      <c r="H17" s="129">
        <f t="shared" si="3"/>
        <v>1095</v>
      </c>
      <c r="I17" s="129">
        <f t="shared" si="3"/>
        <v>1642.5</v>
      </c>
      <c r="J17" s="129">
        <f t="shared" si="3"/>
        <v>2190</v>
      </c>
      <c r="K17" s="129">
        <f t="shared" si="3"/>
        <v>2737.5</v>
      </c>
      <c r="L17" s="126"/>
      <c r="O17" s="4" t="s">
        <v>31</v>
      </c>
      <c r="P17" s="17"/>
      <c r="Q17" s="18"/>
      <c r="R17" s="7"/>
      <c r="S17" s="14">
        <f>+S9*$Q$4</f>
        <v>60.225000000000001</v>
      </c>
      <c r="T17" s="14">
        <f t="shared" ref="T17:W17" si="4">+T9*$Q$4</f>
        <v>120.45</v>
      </c>
      <c r="U17" s="14">
        <f t="shared" si="4"/>
        <v>180.67500000000001</v>
      </c>
      <c r="V17" s="14">
        <f t="shared" si="4"/>
        <v>240.9</v>
      </c>
      <c r="W17" s="14">
        <f t="shared" si="4"/>
        <v>301.125</v>
      </c>
    </row>
    <row r="18" spans="2:28">
      <c r="B18" s="261"/>
      <c r="C18" s="124" t="s">
        <v>8</v>
      </c>
      <c r="D18" s="128"/>
      <c r="E18" s="128"/>
      <c r="F18" s="128"/>
      <c r="G18" s="130">
        <f>100-(G16/G15)*100</f>
        <v>45.45454545454546</v>
      </c>
      <c r="H18" s="130">
        <f t="shared" ref="H18:K18" si="5">100-(H16/H15)*100</f>
        <v>45.45454545454546</v>
      </c>
      <c r="I18" s="130">
        <f t="shared" si="5"/>
        <v>45.45454545454546</v>
      </c>
      <c r="J18" s="130">
        <f t="shared" si="5"/>
        <v>45.45454545454546</v>
      </c>
      <c r="K18" s="130">
        <f t="shared" si="5"/>
        <v>45.45454545454546</v>
      </c>
      <c r="L18" s="124"/>
      <c r="O18" s="4" t="s">
        <v>32</v>
      </c>
      <c r="P18" s="8">
        <f>28*Q9</f>
        <v>28</v>
      </c>
      <c r="Q18" s="22">
        <f>Y9</f>
        <v>1.3698630136986301</v>
      </c>
      <c r="R18" s="7"/>
      <c r="S18" s="14">
        <f>$P$18*R15</f>
        <v>0</v>
      </c>
      <c r="T18" s="14">
        <f>$P$18*S15</f>
        <v>28</v>
      </c>
      <c r="U18" s="14">
        <f>$P$18*T15</f>
        <v>56</v>
      </c>
      <c r="V18" s="14">
        <f>$P$18*U15</f>
        <v>84</v>
      </c>
      <c r="W18" s="14">
        <f>$P$18*V15</f>
        <v>112</v>
      </c>
    </row>
    <row r="19" spans="2:28">
      <c r="B19" s="261"/>
      <c r="C19" s="124" t="s">
        <v>11</v>
      </c>
      <c r="D19" s="124"/>
      <c r="E19" s="124"/>
      <c r="F19" s="124"/>
      <c r="G19" s="124"/>
      <c r="H19" s="124"/>
      <c r="I19" s="124"/>
      <c r="J19" s="124"/>
      <c r="K19" s="124"/>
      <c r="L19" s="131">
        <f>100-(L15/L16)*100</f>
        <v>81.25</v>
      </c>
      <c r="O19" s="286" t="s">
        <v>33</v>
      </c>
      <c r="P19" s="287"/>
      <c r="Q19" s="288"/>
      <c r="R19" s="5"/>
      <c r="S19" s="15">
        <f>S17+S18</f>
        <v>60.225000000000001</v>
      </c>
      <c r="T19" s="15">
        <f t="shared" ref="T19:W19" si="6">T17+T18</f>
        <v>148.44999999999999</v>
      </c>
      <c r="U19" s="15">
        <f t="shared" si="6"/>
        <v>236.67500000000001</v>
      </c>
      <c r="V19" s="15">
        <f t="shared" si="6"/>
        <v>324.89999999999998</v>
      </c>
      <c r="W19" s="15">
        <f t="shared" si="6"/>
        <v>413.125</v>
      </c>
    </row>
    <row r="20" spans="2:28" s="1" customFormat="1" ht="13.5" thickBot="1">
      <c r="B20" s="64"/>
      <c r="C20" s="65"/>
      <c r="D20" s="65"/>
      <c r="E20" s="65"/>
      <c r="F20" s="65"/>
      <c r="G20" s="65"/>
      <c r="H20" s="65"/>
      <c r="I20" s="65"/>
      <c r="J20" s="65"/>
      <c r="K20" s="65"/>
      <c r="L20" s="66"/>
      <c r="O20" s="270" t="s">
        <v>40</v>
      </c>
      <c r="P20" s="271" t="s">
        <v>40</v>
      </c>
      <c r="Q20" s="271" t="s">
        <v>40</v>
      </c>
      <c r="R20" s="271" t="s">
        <v>40</v>
      </c>
      <c r="S20" s="271" t="s">
        <v>40</v>
      </c>
      <c r="T20" s="271" t="s">
        <v>40</v>
      </c>
      <c r="U20" s="271" t="s">
        <v>40</v>
      </c>
      <c r="V20" s="271" t="s">
        <v>40</v>
      </c>
      <c r="W20" s="272" t="s">
        <v>40</v>
      </c>
      <c r="X20" s="11"/>
      <c r="Y20" s="11"/>
      <c r="Z20" s="11"/>
      <c r="AA20" s="11"/>
      <c r="AB20" s="11"/>
    </row>
    <row r="21" spans="2:28" ht="15" customHeight="1" thickTop="1" thickBot="1">
      <c r="B21" s="258" t="s">
        <v>3</v>
      </c>
      <c r="C21" s="258"/>
      <c r="D21" s="109">
        <v>275</v>
      </c>
      <c r="E21" s="62">
        <v>1</v>
      </c>
      <c r="F21" s="109">
        <f>+D21*E21</f>
        <v>275</v>
      </c>
      <c r="G21" s="110">
        <f>D21*4380/1000</f>
        <v>1204.5</v>
      </c>
      <c r="H21" s="111">
        <f>G21*2</f>
        <v>2409</v>
      </c>
      <c r="I21" s="110">
        <f>G21*3</f>
        <v>3613.5</v>
      </c>
      <c r="J21" s="111">
        <f>G21*4</f>
        <v>4818</v>
      </c>
      <c r="K21" s="110">
        <f>G21*5</f>
        <v>6022.5</v>
      </c>
      <c r="L21" s="109">
        <v>6000</v>
      </c>
      <c r="O21" s="273" t="s">
        <v>34</v>
      </c>
      <c r="P21" s="274"/>
      <c r="Q21" s="275"/>
      <c r="R21" s="8">
        <f>140*Q9</f>
        <v>140</v>
      </c>
      <c r="S21" s="5"/>
      <c r="T21" s="5"/>
      <c r="U21" s="5"/>
      <c r="V21" s="5"/>
      <c r="W21" s="5"/>
    </row>
    <row r="22" spans="2:28" ht="12.75" customHeight="1" thickTop="1" thickBot="1">
      <c r="B22" s="257" t="s">
        <v>7</v>
      </c>
      <c r="C22" s="106" t="s">
        <v>16</v>
      </c>
      <c r="D22" s="98">
        <v>70</v>
      </c>
      <c r="E22" s="62">
        <v>1</v>
      </c>
      <c r="F22" s="98">
        <f>+D22*E22</f>
        <v>70</v>
      </c>
      <c r="G22" s="99">
        <f>D22*4380/1000</f>
        <v>306.60000000000002</v>
      </c>
      <c r="H22" s="100">
        <f>G22*2</f>
        <v>613.20000000000005</v>
      </c>
      <c r="I22" s="99">
        <f>G22*3</f>
        <v>919.80000000000007</v>
      </c>
      <c r="J22" s="100">
        <f>G22*4</f>
        <v>1226.4000000000001</v>
      </c>
      <c r="K22" s="99">
        <f>G22*5</f>
        <v>1533</v>
      </c>
      <c r="L22" s="98">
        <v>50000</v>
      </c>
      <c r="O22" s="273" t="s">
        <v>31</v>
      </c>
      <c r="P22" s="274"/>
      <c r="Q22" s="275"/>
      <c r="R22" s="7"/>
      <c r="S22" s="14">
        <f>+S11*$Q$4</f>
        <v>36.573</v>
      </c>
      <c r="T22" s="14">
        <f t="shared" ref="T22:W22" si="7">+T11*$Q$4</f>
        <v>73.146000000000001</v>
      </c>
      <c r="U22" s="14">
        <f t="shared" si="7"/>
        <v>109.71900000000001</v>
      </c>
      <c r="V22" s="14">
        <f t="shared" si="7"/>
        <v>146.292</v>
      </c>
      <c r="W22" s="14">
        <f t="shared" si="7"/>
        <v>182.86500000000001</v>
      </c>
    </row>
    <row r="23" spans="2:28" ht="13.5" thickTop="1">
      <c r="B23" s="257"/>
      <c r="C23" s="103" t="s">
        <v>6</v>
      </c>
      <c r="D23" s="101">
        <f>D21-D22</f>
        <v>205</v>
      </c>
      <c r="E23" s="101"/>
      <c r="F23" s="101"/>
      <c r="G23" s="102">
        <f t="shared" ref="G23:K23" si="8">G21-G22</f>
        <v>897.9</v>
      </c>
      <c r="H23" s="102">
        <f t="shared" si="8"/>
        <v>1795.8</v>
      </c>
      <c r="I23" s="102">
        <f t="shared" si="8"/>
        <v>2693.7</v>
      </c>
      <c r="J23" s="102">
        <f t="shared" si="8"/>
        <v>3591.6</v>
      </c>
      <c r="K23" s="102">
        <f t="shared" si="8"/>
        <v>4489.5</v>
      </c>
      <c r="L23" s="103"/>
      <c r="O23" s="4" t="s">
        <v>32</v>
      </c>
      <c r="P23" s="8">
        <f>36*Q9</f>
        <v>36</v>
      </c>
      <c r="Q23" s="22">
        <f>Y11</f>
        <v>7.3059360730593603</v>
      </c>
      <c r="R23" s="7"/>
      <c r="S23" s="14">
        <v>0</v>
      </c>
      <c r="T23" s="14">
        <v>0</v>
      </c>
      <c r="U23" s="14">
        <v>0</v>
      </c>
      <c r="V23" s="14">
        <v>0</v>
      </c>
      <c r="W23" s="14">
        <v>0</v>
      </c>
    </row>
    <row r="24" spans="2:28">
      <c r="B24" s="257"/>
      <c r="C24" s="106" t="s">
        <v>8</v>
      </c>
      <c r="D24" s="104"/>
      <c r="E24" s="104"/>
      <c r="F24" s="104"/>
      <c r="G24" s="105">
        <f>100-(G22/G21)*100</f>
        <v>74.545454545454547</v>
      </c>
      <c r="H24" s="105">
        <f t="shared" ref="H24:K24" si="9">100-(H22/H21)*100</f>
        <v>74.545454545454547</v>
      </c>
      <c r="I24" s="105">
        <f t="shared" si="9"/>
        <v>74.545454545454547</v>
      </c>
      <c r="J24" s="105">
        <f t="shared" si="9"/>
        <v>74.545454545454547</v>
      </c>
      <c r="K24" s="105">
        <f t="shared" si="9"/>
        <v>74.545454545454547</v>
      </c>
      <c r="L24" s="106"/>
      <c r="O24" s="286" t="s">
        <v>33</v>
      </c>
      <c r="P24" s="287"/>
      <c r="Q24" s="288"/>
      <c r="R24" s="6"/>
      <c r="S24" s="16">
        <f t="shared" ref="S24:W24" si="10">S22+S23</f>
        <v>36.573</v>
      </c>
      <c r="T24" s="16">
        <f t="shared" si="10"/>
        <v>73.146000000000001</v>
      </c>
      <c r="U24" s="16">
        <f t="shared" si="10"/>
        <v>109.71900000000001</v>
      </c>
      <c r="V24" s="16">
        <f t="shared" si="10"/>
        <v>146.292</v>
      </c>
      <c r="W24" s="16">
        <f t="shared" si="10"/>
        <v>182.86500000000001</v>
      </c>
    </row>
    <row r="25" spans="2:28">
      <c r="B25" s="257"/>
      <c r="C25" s="106" t="s">
        <v>11</v>
      </c>
      <c r="D25" s="106"/>
      <c r="E25" s="106"/>
      <c r="F25" s="106"/>
      <c r="G25" s="106"/>
      <c r="H25" s="106"/>
      <c r="I25" s="106"/>
      <c r="J25" s="106"/>
      <c r="K25" s="106"/>
      <c r="L25" s="100">
        <f>100-(L21/L22)*100</f>
        <v>88</v>
      </c>
      <c r="O25" s="286" t="s">
        <v>35</v>
      </c>
      <c r="P25" s="287"/>
      <c r="Q25" s="288"/>
      <c r="R25" s="6">
        <f>R21</f>
        <v>140</v>
      </c>
      <c r="S25" s="16">
        <f>$R$25+S24</f>
        <v>176.57300000000001</v>
      </c>
      <c r="T25" s="16">
        <f t="shared" ref="T25:W25" si="11">$R$25+T24</f>
        <v>213.14600000000002</v>
      </c>
      <c r="U25" s="16">
        <f t="shared" si="11"/>
        <v>249.71899999999999</v>
      </c>
      <c r="V25" s="16">
        <f t="shared" si="11"/>
        <v>286.29200000000003</v>
      </c>
      <c r="W25" s="16">
        <f t="shared" si="11"/>
        <v>322.86500000000001</v>
      </c>
    </row>
    <row r="26" spans="2:28" s="1" customFormat="1" ht="13.5" thickBot="1">
      <c r="B26" s="64"/>
      <c r="C26" s="65"/>
      <c r="D26" s="65"/>
      <c r="E26" s="107"/>
      <c r="F26" s="107"/>
      <c r="G26" s="107"/>
      <c r="H26" s="107"/>
      <c r="I26" s="107"/>
      <c r="J26" s="107"/>
      <c r="K26" s="107"/>
      <c r="L26" s="108"/>
      <c r="O26" s="286" t="s">
        <v>36</v>
      </c>
      <c r="P26" s="287"/>
      <c r="Q26" s="288"/>
      <c r="R26" s="76">
        <f>0-R25</f>
        <v>-140</v>
      </c>
      <c r="S26" s="77">
        <f>S19-S25</f>
        <v>-116.34800000000001</v>
      </c>
      <c r="T26" s="77">
        <f t="shared" ref="T26:W26" si="12">T19-T25</f>
        <v>-64.696000000000026</v>
      </c>
      <c r="U26" s="77">
        <f t="shared" si="12"/>
        <v>-13.043999999999983</v>
      </c>
      <c r="V26" s="77">
        <f t="shared" si="12"/>
        <v>38.607999999999947</v>
      </c>
      <c r="W26" s="77">
        <f t="shared" si="12"/>
        <v>90.259999999999991</v>
      </c>
      <c r="X26" s="11"/>
      <c r="Y26" s="11"/>
      <c r="Z26" s="11"/>
      <c r="AA26" s="11"/>
      <c r="AB26" s="11"/>
    </row>
    <row r="27" spans="2:28" ht="15" customHeight="1" thickTop="1" thickBot="1">
      <c r="B27" s="258" t="s">
        <v>3</v>
      </c>
      <c r="C27" s="258"/>
      <c r="D27" s="109">
        <v>275</v>
      </c>
      <c r="E27" s="62">
        <v>1</v>
      </c>
      <c r="F27" s="109">
        <f>+D27*E27</f>
        <v>275</v>
      </c>
      <c r="G27" s="110">
        <f>D27*4380/1000</f>
        <v>1204.5</v>
      </c>
      <c r="H27" s="111">
        <f>G27*2</f>
        <v>2409</v>
      </c>
      <c r="I27" s="110">
        <f>G27*3</f>
        <v>3613.5</v>
      </c>
      <c r="J27" s="111">
        <f>G27*4</f>
        <v>4818</v>
      </c>
      <c r="K27" s="110">
        <f>G27*5</f>
        <v>6022.5</v>
      </c>
      <c r="L27" s="109">
        <v>6000</v>
      </c>
    </row>
    <row r="28" spans="2:28" ht="12.75" customHeight="1" thickTop="1" thickBot="1">
      <c r="B28" s="259" t="s">
        <v>7</v>
      </c>
      <c r="C28" s="89" t="s">
        <v>20</v>
      </c>
      <c r="D28" s="90">
        <v>167</v>
      </c>
      <c r="E28" s="62">
        <v>1</v>
      </c>
      <c r="F28" s="90">
        <f>+D28*E28</f>
        <v>167</v>
      </c>
      <c r="G28" s="97">
        <f>D28*4380/1000</f>
        <v>731.46</v>
      </c>
      <c r="H28" s="96">
        <f>G28*2</f>
        <v>1462.92</v>
      </c>
      <c r="I28" s="97">
        <f>G28*3</f>
        <v>2194.38</v>
      </c>
      <c r="J28" s="96">
        <f>G28*4</f>
        <v>2925.84</v>
      </c>
      <c r="K28" s="97">
        <f>G28*5</f>
        <v>3657.3</v>
      </c>
      <c r="L28" s="90">
        <v>20000</v>
      </c>
      <c r="O28" s="21"/>
      <c r="P28" s="23"/>
      <c r="Q28" s="2"/>
      <c r="R28" s="2"/>
      <c r="S28" s="2"/>
      <c r="T28" s="2"/>
      <c r="U28" s="2"/>
      <c r="V28" s="2"/>
    </row>
    <row r="29" spans="2:28" ht="14.25" thickTop="1" thickBot="1">
      <c r="B29" s="259"/>
      <c r="C29" s="91" t="s">
        <v>6</v>
      </c>
      <c r="D29" s="92">
        <f>D27-D28</f>
        <v>108</v>
      </c>
      <c r="E29" s="92"/>
      <c r="F29" s="92"/>
      <c r="G29" s="94">
        <f t="shared" ref="G29:K29" si="13">G27-G28</f>
        <v>473.03999999999996</v>
      </c>
      <c r="H29" s="94">
        <f t="shared" si="13"/>
        <v>946.07999999999993</v>
      </c>
      <c r="I29" s="94">
        <f t="shared" si="13"/>
        <v>1419.12</v>
      </c>
      <c r="J29" s="94">
        <f t="shared" si="13"/>
        <v>1892.1599999999999</v>
      </c>
      <c r="K29" s="94">
        <f t="shared" si="13"/>
        <v>2365.1999999999998</v>
      </c>
      <c r="L29" s="91"/>
      <c r="O29" s="57" t="s">
        <v>37</v>
      </c>
      <c r="P29" s="78"/>
      <c r="Q29" s="78"/>
      <c r="R29" s="62">
        <v>3.3</v>
      </c>
      <c r="S29" s="79" t="s">
        <v>38</v>
      </c>
      <c r="T29" s="63" t="s">
        <v>51</v>
      </c>
      <c r="U29" s="2"/>
      <c r="V29" s="2"/>
    </row>
    <row r="30" spans="2:28" ht="13.5" thickTop="1">
      <c r="B30" s="259"/>
      <c r="C30" s="89" t="s">
        <v>8</v>
      </c>
      <c r="D30" s="93"/>
      <c r="E30" s="93"/>
      <c r="F30" s="93"/>
      <c r="G30" s="95">
        <f>100-(G28/G27)*100</f>
        <v>39.272727272727273</v>
      </c>
      <c r="H30" s="95">
        <f t="shared" ref="H30:K30" si="14">100-(H28/H27)*100</f>
        <v>39.272727272727273</v>
      </c>
      <c r="I30" s="95">
        <f t="shared" si="14"/>
        <v>39.272727272727273</v>
      </c>
      <c r="J30" s="95">
        <f t="shared" si="14"/>
        <v>39.272727272727273</v>
      </c>
      <c r="K30" s="95">
        <f t="shared" si="14"/>
        <v>39.272727272727273</v>
      </c>
      <c r="L30" s="89"/>
      <c r="O30" s="59" t="s">
        <v>47</v>
      </c>
      <c r="P30" s="78"/>
      <c r="Q30" s="78"/>
      <c r="R30" s="80">
        <f>100-(S22*100)/S17</f>
        <v>39.272727272727273</v>
      </c>
      <c r="S30" s="12" t="s">
        <v>25</v>
      </c>
    </row>
    <row r="31" spans="2:28">
      <c r="B31" s="259"/>
      <c r="C31" s="89" t="s">
        <v>11</v>
      </c>
      <c r="D31" s="89"/>
      <c r="E31" s="89"/>
      <c r="F31" s="89"/>
      <c r="G31" s="89"/>
      <c r="H31" s="89"/>
      <c r="I31" s="89"/>
      <c r="J31" s="89"/>
      <c r="K31" s="89"/>
      <c r="L31" s="96">
        <f>100-(L27/L28)*100</f>
        <v>70</v>
      </c>
      <c r="O31" s="59" t="s">
        <v>39</v>
      </c>
      <c r="P31" s="78"/>
      <c r="Q31" s="78"/>
      <c r="R31" s="80">
        <v>100</v>
      </c>
      <c r="S31" s="12" t="s">
        <v>25</v>
      </c>
    </row>
    <row r="34" spans="15:15">
      <c r="O34" s="48" t="s">
        <v>45</v>
      </c>
    </row>
    <row r="35" spans="15:15">
      <c r="O35" s="48" t="s">
        <v>66</v>
      </c>
    </row>
  </sheetData>
  <dataConsolidate/>
  <mergeCells count="36">
    <mergeCell ref="O26:Q26"/>
    <mergeCell ref="B27:C27"/>
    <mergeCell ref="B28:B31"/>
    <mergeCell ref="O20:W20"/>
    <mergeCell ref="B21:C21"/>
    <mergeCell ref="O21:Q21"/>
    <mergeCell ref="B22:B25"/>
    <mergeCell ref="O22:Q22"/>
    <mergeCell ref="O24:Q24"/>
    <mergeCell ref="O25:Q25"/>
    <mergeCell ref="R14:W14"/>
    <mergeCell ref="B15:C15"/>
    <mergeCell ref="B16:B19"/>
    <mergeCell ref="O16:W16"/>
    <mergeCell ref="O19:Q19"/>
    <mergeCell ref="B6:B7"/>
    <mergeCell ref="C6:C7"/>
    <mergeCell ref="D6:D7"/>
    <mergeCell ref="O14:O15"/>
    <mergeCell ref="P14:Q15"/>
    <mergeCell ref="O8:Y8"/>
    <mergeCell ref="B9:C9"/>
    <mergeCell ref="B10:B13"/>
    <mergeCell ref="O10:Y10"/>
    <mergeCell ref="O12:W12"/>
    <mergeCell ref="E6:E7"/>
    <mergeCell ref="F6:F7"/>
    <mergeCell ref="G6:K6"/>
    <mergeCell ref="X6:X7"/>
    <mergeCell ref="Y6:Y7"/>
    <mergeCell ref="L6:L7"/>
    <mergeCell ref="O6:O7"/>
    <mergeCell ref="P6:P7"/>
    <mergeCell ref="Q6:Q7"/>
    <mergeCell ref="R6:R7"/>
    <mergeCell ref="S6:W6"/>
  </mergeCells>
  <conditionalFormatting sqref="S9:W9">
    <cfRule type="colorScale" priority="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S11:W11">
    <cfRule type="colorScale" priority="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S9:W9 S11:W11">
    <cfRule type="colorScale" priority="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R17:W17 S21:W21 R19:W19 R18 R22:W26">
    <cfRule type="colorScale" priority="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R32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S29 U29">
    <cfRule type="colorScale" priority="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S9:W9 O9:O11 S11:W11">
    <cfRule type="colorScale" priority="1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S9:W9">
    <cfRule type="colorScale" priority="1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S11:W11">
    <cfRule type="colorScale" priority="1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S9:W9">
    <cfRule type="colorScale" priority="1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R9:W9 R11:W11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T29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S18:W18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pageSetup paperSize="9" orientation="landscape" r:id="rId1"/>
  <headerFooter>
    <oddHeader>&amp;C&amp;"-,Bold"&amp;U&amp;K03+000PRORAČUN ZAMJENE SIJALICA U JAVNOJ RASVJETI</oddHeader>
    <oddFooter>&amp;L&amp;KC00000GIZ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B1:AB35"/>
  <sheetViews>
    <sheetView showGridLines="0" showWhiteSpace="0" topLeftCell="C1" zoomScale="80" zoomScaleNormal="80" zoomScalePageLayoutView="90" workbookViewId="0">
      <selection activeCell="O10" sqref="O10:Y10"/>
    </sheetView>
  </sheetViews>
  <sheetFormatPr defaultRowHeight="12.75"/>
  <cols>
    <col min="1" max="1" width="3.7109375" style="11" customWidth="1"/>
    <col min="2" max="2" width="12.42578125" style="11" customWidth="1"/>
    <col min="3" max="3" width="19.7109375" style="11" customWidth="1"/>
    <col min="4" max="12" width="9.42578125" style="11" customWidth="1"/>
    <col min="13" max="13" width="7" style="78" customWidth="1"/>
    <col min="14" max="14" width="3.7109375" style="78" customWidth="1"/>
    <col min="15" max="15" width="19.140625" style="3" customWidth="1"/>
    <col min="16" max="16" width="9.140625" style="11" customWidth="1"/>
    <col min="17" max="17" width="9.140625" style="11"/>
    <col min="18" max="24" width="9.140625" style="11" customWidth="1"/>
    <col min="25" max="25" width="9.140625" style="11"/>
    <col min="26" max="26" width="9.140625" style="11" customWidth="1"/>
    <col min="27" max="27" width="19.5703125" style="11" customWidth="1"/>
    <col min="28" max="16384" width="9.140625" style="11"/>
  </cols>
  <sheetData>
    <row r="1" spans="2:28" ht="12" customHeight="1"/>
    <row r="2" spans="2:28" s="13" customFormat="1" ht="24.75">
      <c r="B2" s="133" t="s">
        <v>64</v>
      </c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5"/>
      <c r="N2" s="135"/>
      <c r="O2" s="133" t="s">
        <v>65</v>
      </c>
      <c r="P2" s="133"/>
      <c r="Q2" s="133"/>
      <c r="R2" s="133"/>
      <c r="S2" s="133"/>
      <c r="T2" s="133"/>
      <c r="U2" s="145"/>
      <c r="V2" s="145"/>
      <c r="W2" s="145"/>
      <c r="X2" s="145"/>
      <c r="Y2" s="145"/>
    </row>
    <row r="3" spans="2:28" ht="13.5" thickBot="1"/>
    <row r="4" spans="2:28" ht="14.25" thickTop="1" thickBot="1">
      <c r="B4" s="87" t="s">
        <v>79</v>
      </c>
      <c r="C4" s="147" t="s">
        <v>80</v>
      </c>
      <c r="D4" s="35"/>
      <c r="O4" s="3" t="s">
        <v>95</v>
      </c>
      <c r="Q4" s="62">
        <v>0.05</v>
      </c>
      <c r="R4" s="11" t="s">
        <v>96</v>
      </c>
    </row>
    <row r="5" spans="2:28" ht="13.5" thickTop="1"/>
    <row r="6" spans="2:28" ht="32.25" customHeight="1">
      <c r="B6" s="264"/>
      <c r="C6" s="265" t="s">
        <v>0</v>
      </c>
      <c r="D6" s="265" t="s">
        <v>48</v>
      </c>
      <c r="E6" s="265" t="s">
        <v>49</v>
      </c>
      <c r="F6" s="265" t="s">
        <v>50</v>
      </c>
      <c r="G6" s="267" t="s">
        <v>26</v>
      </c>
      <c r="H6" s="268"/>
      <c r="I6" s="268"/>
      <c r="J6" s="268"/>
      <c r="K6" s="269"/>
      <c r="L6" s="262" t="s">
        <v>53</v>
      </c>
      <c r="O6" s="265" t="s">
        <v>0</v>
      </c>
      <c r="P6" s="265" t="s">
        <v>5</v>
      </c>
      <c r="Q6" s="265" t="s">
        <v>49</v>
      </c>
      <c r="R6" s="265" t="s">
        <v>50</v>
      </c>
      <c r="S6" s="278" t="s">
        <v>26</v>
      </c>
      <c r="T6" s="279"/>
      <c r="U6" s="279"/>
      <c r="V6" s="279"/>
      <c r="W6" s="280"/>
      <c r="X6" s="265" t="s">
        <v>42</v>
      </c>
      <c r="Y6" s="265" t="s">
        <v>52</v>
      </c>
    </row>
    <row r="7" spans="2:28">
      <c r="B7" s="264"/>
      <c r="C7" s="266"/>
      <c r="D7" s="266"/>
      <c r="E7" s="266"/>
      <c r="F7" s="266"/>
      <c r="G7" s="67">
        <v>1</v>
      </c>
      <c r="H7" s="67">
        <v>2</v>
      </c>
      <c r="I7" s="67">
        <v>3</v>
      </c>
      <c r="J7" s="67">
        <v>4</v>
      </c>
      <c r="K7" s="67">
        <v>5</v>
      </c>
      <c r="L7" s="263"/>
      <c r="O7" s="266"/>
      <c r="P7" s="266"/>
      <c r="Q7" s="266"/>
      <c r="R7" s="266"/>
      <c r="S7" s="68">
        <v>1</v>
      </c>
      <c r="T7" s="68">
        <v>2</v>
      </c>
      <c r="U7" s="68">
        <v>3</v>
      </c>
      <c r="V7" s="68">
        <v>4</v>
      </c>
      <c r="W7" s="68">
        <v>5</v>
      </c>
      <c r="X7" s="266"/>
      <c r="Y7" s="266"/>
    </row>
    <row r="8" spans="2:28" s="1" customFormat="1" ht="13.5" thickBot="1">
      <c r="B8" s="24"/>
      <c r="C8" s="25"/>
      <c r="D8" s="26"/>
      <c r="E8" s="26"/>
      <c r="F8" s="26"/>
      <c r="G8" s="26"/>
      <c r="H8" s="26"/>
      <c r="I8" s="26"/>
      <c r="J8" s="26"/>
      <c r="K8" s="26"/>
      <c r="L8" s="27"/>
      <c r="O8" s="276" t="s">
        <v>9</v>
      </c>
      <c r="P8" s="276"/>
      <c r="Q8" s="277"/>
      <c r="R8" s="276"/>
      <c r="S8" s="276"/>
      <c r="T8" s="276"/>
      <c r="U8" s="276"/>
      <c r="V8" s="276"/>
      <c r="W8" s="276"/>
      <c r="X8" s="276"/>
      <c r="Y8" s="276"/>
      <c r="Z8" s="11"/>
      <c r="AA8" s="11"/>
      <c r="AB8" s="11"/>
    </row>
    <row r="9" spans="2:28" ht="15" customHeight="1" thickTop="1" thickBot="1">
      <c r="B9" s="258" t="s">
        <v>4</v>
      </c>
      <c r="C9" s="258"/>
      <c r="D9" s="109">
        <v>440</v>
      </c>
      <c r="E9" s="62">
        <v>1</v>
      </c>
      <c r="F9" s="109">
        <f>+D9*E9</f>
        <v>440</v>
      </c>
      <c r="G9" s="110">
        <f>$F$9*4380/1000</f>
        <v>1927.2</v>
      </c>
      <c r="H9" s="111">
        <f>G9*2</f>
        <v>3854.4</v>
      </c>
      <c r="I9" s="110">
        <f>G9*3</f>
        <v>5781.6</v>
      </c>
      <c r="J9" s="111">
        <f>G9*4</f>
        <v>7708.8</v>
      </c>
      <c r="K9" s="110">
        <f>G9*5</f>
        <v>9636</v>
      </c>
      <c r="L9" s="109">
        <v>6000</v>
      </c>
      <c r="O9" s="28" t="s">
        <v>4</v>
      </c>
      <c r="P9" s="30">
        <f>F9</f>
        <v>440</v>
      </c>
      <c r="Q9" s="62">
        <v>1</v>
      </c>
      <c r="R9" s="18">
        <f>+P9*Q9</f>
        <v>440</v>
      </c>
      <c r="S9" s="10">
        <f>4380/1000*R$9</f>
        <v>1927.2</v>
      </c>
      <c r="T9" s="9">
        <f>$S$9*T7</f>
        <v>3854.4</v>
      </c>
      <c r="U9" s="9">
        <f>$S$9*U7</f>
        <v>5781.6</v>
      </c>
      <c r="V9" s="9">
        <f t="shared" ref="V9" si="0">$S$9*V7</f>
        <v>7708.8</v>
      </c>
      <c r="W9" s="9">
        <f>$S$9*W7</f>
        <v>9636</v>
      </c>
      <c r="X9" s="30">
        <f>L9</f>
        <v>6000</v>
      </c>
      <c r="Y9" s="22">
        <f>X9/12/365</f>
        <v>1.3698630136986301</v>
      </c>
    </row>
    <row r="10" spans="2:28" ht="12.75" customHeight="1" thickTop="1" thickBot="1">
      <c r="B10" s="260" t="s">
        <v>7</v>
      </c>
      <c r="C10" s="115" t="s">
        <v>17</v>
      </c>
      <c r="D10" s="116">
        <v>275</v>
      </c>
      <c r="E10" s="62">
        <v>1</v>
      </c>
      <c r="F10" s="116">
        <f>+D10*E10</f>
        <v>275</v>
      </c>
      <c r="G10" s="120">
        <f>F10*4380/1000</f>
        <v>1204.5</v>
      </c>
      <c r="H10" s="121">
        <f>G10*2</f>
        <v>2409</v>
      </c>
      <c r="I10" s="120">
        <f>G10*3</f>
        <v>3613.5</v>
      </c>
      <c r="J10" s="121">
        <f>G10*4</f>
        <v>4818</v>
      </c>
      <c r="K10" s="120">
        <f>G10*5</f>
        <v>6022.5</v>
      </c>
      <c r="L10" s="116">
        <v>32000</v>
      </c>
      <c r="O10" s="276" t="s">
        <v>24</v>
      </c>
      <c r="P10" s="276"/>
      <c r="Q10" s="285"/>
      <c r="R10" s="276"/>
      <c r="S10" s="276"/>
      <c r="T10" s="276"/>
      <c r="U10" s="276"/>
      <c r="V10" s="276"/>
      <c r="W10" s="276"/>
      <c r="X10" s="276"/>
      <c r="Y10" s="276"/>
    </row>
    <row r="11" spans="2:28" ht="13.5" thickTop="1">
      <c r="B11" s="260"/>
      <c r="C11" s="117" t="s">
        <v>6</v>
      </c>
      <c r="D11" s="118">
        <f t="shared" ref="D11:K11" si="1">D9-D10</f>
        <v>165</v>
      </c>
      <c r="E11" s="113"/>
      <c r="F11" s="118">
        <f t="shared" si="1"/>
        <v>165</v>
      </c>
      <c r="G11" s="122">
        <f>G9-G10</f>
        <v>722.7</v>
      </c>
      <c r="H11" s="122">
        <f t="shared" si="1"/>
        <v>1445.4</v>
      </c>
      <c r="I11" s="122">
        <f t="shared" si="1"/>
        <v>2168.1000000000004</v>
      </c>
      <c r="J11" s="122">
        <f t="shared" si="1"/>
        <v>2890.8</v>
      </c>
      <c r="K11" s="122">
        <f t="shared" si="1"/>
        <v>3613.5</v>
      </c>
      <c r="L11" s="117"/>
      <c r="O11" s="28" t="s">
        <v>41</v>
      </c>
      <c r="P11" s="8">
        <f>F10</f>
        <v>275</v>
      </c>
      <c r="Q11" s="8">
        <f>Q9</f>
        <v>1</v>
      </c>
      <c r="R11" s="7">
        <f>+P11*Q11</f>
        <v>275</v>
      </c>
      <c r="S11" s="10">
        <f>4380/1000*R$11</f>
        <v>1204.5</v>
      </c>
      <c r="T11" s="10">
        <f>$S$11*T7</f>
        <v>2409</v>
      </c>
      <c r="U11" s="10">
        <f t="shared" ref="U11:V11" si="2">$S$11*U7</f>
        <v>3613.5</v>
      </c>
      <c r="V11" s="10">
        <f t="shared" si="2"/>
        <v>4818</v>
      </c>
      <c r="W11" s="10">
        <f>$S$11*W7</f>
        <v>6022.5</v>
      </c>
      <c r="X11" s="30">
        <f>L10</f>
        <v>32000</v>
      </c>
      <c r="Y11" s="22">
        <f>X11/12/365</f>
        <v>7.3059360730593603</v>
      </c>
    </row>
    <row r="12" spans="2:28">
      <c r="B12" s="260"/>
      <c r="C12" s="115" t="s">
        <v>8</v>
      </c>
      <c r="D12" s="119"/>
      <c r="E12" s="114"/>
      <c r="F12" s="119"/>
      <c r="G12" s="123">
        <f>100-(G10/G9)*100</f>
        <v>37.5</v>
      </c>
      <c r="H12" s="123">
        <f>100-(H10/H9)*100</f>
        <v>37.5</v>
      </c>
      <c r="I12" s="123">
        <f>100-(I10/I9)*100</f>
        <v>37.5</v>
      </c>
      <c r="J12" s="123">
        <f>100-(J10/J9)*100</f>
        <v>37.5</v>
      </c>
      <c r="K12" s="123">
        <f>100-(K10/K9)*100</f>
        <v>37.5</v>
      </c>
      <c r="L12" s="115"/>
      <c r="O12" s="289" t="s">
        <v>28</v>
      </c>
      <c r="P12" s="289"/>
      <c r="Q12" s="289"/>
      <c r="R12" s="289"/>
      <c r="S12" s="289"/>
      <c r="T12" s="289"/>
      <c r="U12" s="289"/>
      <c r="V12" s="289"/>
      <c r="W12" s="289"/>
      <c r="X12" s="82">
        <f>100-(X9/X11)*100</f>
        <v>81.25</v>
      </c>
      <c r="Y12" s="29" t="s">
        <v>25</v>
      </c>
    </row>
    <row r="13" spans="2:28">
      <c r="B13" s="260"/>
      <c r="C13" s="115" t="s">
        <v>11</v>
      </c>
      <c r="D13" s="115"/>
      <c r="E13" s="115"/>
      <c r="F13" s="112"/>
      <c r="G13" s="112"/>
      <c r="H13" s="112"/>
      <c r="I13" s="112"/>
      <c r="J13" s="112"/>
      <c r="K13" s="112"/>
      <c r="L13" s="121">
        <f>100-(L9/L10)*100</f>
        <v>81.25</v>
      </c>
    </row>
    <row r="14" spans="2:28" s="1" customFormat="1" ht="13.5" thickBot="1">
      <c r="B14" s="64"/>
      <c r="C14" s="65"/>
      <c r="D14" s="65"/>
      <c r="E14" s="65"/>
      <c r="F14" s="65"/>
      <c r="G14" s="65"/>
      <c r="H14" s="65"/>
      <c r="I14" s="65"/>
      <c r="J14" s="65"/>
      <c r="K14" s="65"/>
      <c r="L14" s="66"/>
      <c r="O14" s="281" t="s">
        <v>0</v>
      </c>
      <c r="P14" s="282" t="s">
        <v>29</v>
      </c>
      <c r="Q14" s="282"/>
      <c r="R14" s="283" t="s">
        <v>30</v>
      </c>
      <c r="S14" s="283"/>
      <c r="T14" s="283"/>
      <c r="U14" s="283"/>
      <c r="V14" s="283"/>
      <c r="W14" s="283"/>
      <c r="X14" s="11"/>
      <c r="Y14" s="11"/>
      <c r="Z14" s="11"/>
      <c r="AA14" s="11"/>
      <c r="AB14" s="11"/>
    </row>
    <row r="15" spans="2:28" ht="15" customHeight="1" thickTop="1" thickBot="1">
      <c r="B15" s="258" t="s">
        <v>4</v>
      </c>
      <c r="C15" s="258"/>
      <c r="D15" s="109">
        <v>440</v>
      </c>
      <c r="E15" s="62">
        <v>1</v>
      </c>
      <c r="F15" s="109">
        <f>+D15*E15</f>
        <v>440</v>
      </c>
      <c r="G15" s="110">
        <f>D15*4380/1000</f>
        <v>1927.2</v>
      </c>
      <c r="H15" s="111">
        <f>G15*2</f>
        <v>3854.4</v>
      </c>
      <c r="I15" s="110">
        <f>G15*3</f>
        <v>5781.6</v>
      </c>
      <c r="J15" s="111">
        <f>G15*4</f>
        <v>7708.8</v>
      </c>
      <c r="K15" s="110">
        <f>G15*5</f>
        <v>9636</v>
      </c>
      <c r="L15" s="109">
        <v>6000</v>
      </c>
      <c r="O15" s="281"/>
      <c r="P15" s="282"/>
      <c r="Q15" s="282"/>
      <c r="R15" s="68">
        <v>0</v>
      </c>
      <c r="S15" s="73">
        <v>1</v>
      </c>
      <c r="T15" s="73">
        <v>2</v>
      </c>
      <c r="U15" s="73">
        <v>3</v>
      </c>
      <c r="V15" s="73">
        <v>4</v>
      </c>
      <c r="W15" s="73">
        <v>5</v>
      </c>
    </row>
    <row r="16" spans="2:28" ht="12.75" customHeight="1" thickTop="1" thickBot="1">
      <c r="B16" s="261" t="s">
        <v>7</v>
      </c>
      <c r="C16" s="124" t="s">
        <v>18</v>
      </c>
      <c r="D16" s="125">
        <v>250</v>
      </c>
      <c r="E16" s="62">
        <v>1</v>
      </c>
      <c r="F16" s="125">
        <f>+D16*E16</f>
        <v>250</v>
      </c>
      <c r="G16" s="132">
        <f>D16*4380/1000</f>
        <v>1095</v>
      </c>
      <c r="H16" s="131">
        <f>G16*2</f>
        <v>2190</v>
      </c>
      <c r="I16" s="132">
        <f>G16*3</f>
        <v>3285</v>
      </c>
      <c r="J16" s="131">
        <f>G16*4</f>
        <v>4380</v>
      </c>
      <c r="K16" s="132">
        <f>G16*5</f>
        <v>5475</v>
      </c>
      <c r="L16" s="125">
        <v>32000</v>
      </c>
      <c r="O16" s="270" t="s">
        <v>4</v>
      </c>
      <c r="P16" s="271"/>
      <c r="Q16" s="271"/>
      <c r="R16" s="271"/>
      <c r="S16" s="271"/>
      <c r="T16" s="271"/>
      <c r="U16" s="271"/>
      <c r="V16" s="271"/>
      <c r="W16" s="272"/>
    </row>
    <row r="17" spans="2:28" ht="13.5" thickTop="1">
      <c r="B17" s="261"/>
      <c r="C17" s="126" t="s">
        <v>6</v>
      </c>
      <c r="D17" s="127">
        <f>D15-D16</f>
        <v>190</v>
      </c>
      <c r="E17" s="127"/>
      <c r="F17" s="127"/>
      <c r="G17" s="129">
        <f t="shared" ref="G17:K17" si="3">G15-G16</f>
        <v>832.2</v>
      </c>
      <c r="H17" s="129">
        <f t="shared" si="3"/>
        <v>1664.4</v>
      </c>
      <c r="I17" s="129">
        <f t="shared" si="3"/>
        <v>2496.6000000000004</v>
      </c>
      <c r="J17" s="129">
        <f t="shared" si="3"/>
        <v>3328.8</v>
      </c>
      <c r="K17" s="129">
        <f t="shared" si="3"/>
        <v>4161</v>
      </c>
      <c r="L17" s="126"/>
      <c r="O17" s="4" t="s">
        <v>31</v>
      </c>
      <c r="P17" s="17"/>
      <c r="Q17" s="18"/>
      <c r="R17" s="7"/>
      <c r="S17" s="14">
        <f>+S9*$Q$4</f>
        <v>96.360000000000014</v>
      </c>
      <c r="T17" s="14">
        <f t="shared" ref="T17:W17" si="4">+T9*$Q$4</f>
        <v>192.72000000000003</v>
      </c>
      <c r="U17" s="14">
        <f t="shared" si="4"/>
        <v>289.08000000000004</v>
      </c>
      <c r="V17" s="14">
        <f t="shared" si="4"/>
        <v>385.44000000000005</v>
      </c>
      <c r="W17" s="14">
        <f t="shared" si="4"/>
        <v>481.8</v>
      </c>
    </row>
    <row r="18" spans="2:28">
      <c r="B18" s="261"/>
      <c r="C18" s="124" t="s">
        <v>8</v>
      </c>
      <c r="D18" s="128"/>
      <c r="E18" s="128"/>
      <c r="F18" s="128"/>
      <c r="G18" s="130">
        <f>100-(G16/G15)*100</f>
        <v>43.181818181818187</v>
      </c>
      <c r="H18" s="130">
        <f t="shared" ref="H18:K18" si="5">100-(H16/H15)*100</f>
        <v>43.181818181818187</v>
      </c>
      <c r="I18" s="130">
        <f t="shared" si="5"/>
        <v>43.181818181818187</v>
      </c>
      <c r="J18" s="130">
        <f t="shared" si="5"/>
        <v>43.181818181818187</v>
      </c>
      <c r="K18" s="130">
        <f t="shared" si="5"/>
        <v>43.18181818181818</v>
      </c>
      <c r="L18" s="124"/>
      <c r="O18" s="4" t="s">
        <v>32</v>
      </c>
      <c r="P18" s="8">
        <f>30*Q9</f>
        <v>30</v>
      </c>
      <c r="Q18" s="22">
        <f>Y9</f>
        <v>1.3698630136986301</v>
      </c>
      <c r="R18" s="7"/>
      <c r="S18" s="14">
        <f>$P$18*R15</f>
        <v>0</v>
      </c>
      <c r="T18" s="14">
        <f>$P$18*S15</f>
        <v>30</v>
      </c>
      <c r="U18" s="14">
        <f>$P$18*T15</f>
        <v>60</v>
      </c>
      <c r="V18" s="14">
        <f>$P$18*U15</f>
        <v>90</v>
      </c>
      <c r="W18" s="14">
        <f>$P$18*V15</f>
        <v>120</v>
      </c>
    </row>
    <row r="19" spans="2:28">
      <c r="B19" s="261"/>
      <c r="C19" s="124" t="s">
        <v>11</v>
      </c>
      <c r="D19" s="124"/>
      <c r="E19" s="124"/>
      <c r="F19" s="124"/>
      <c r="G19" s="124"/>
      <c r="H19" s="124"/>
      <c r="I19" s="124"/>
      <c r="J19" s="124"/>
      <c r="K19" s="124"/>
      <c r="L19" s="131">
        <f>100-(L15/L16)*100</f>
        <v>81.25</v>
      </c>
      <c r="O19" s="286" t="s">
        <v>33</v>
      </c>
      <c r="P19" s="287"/>
      <c r="Q19" s="288"/>
      <c r="R19" s="5"/>
      <c r="S19" s="15">
        <f>S17+S18</f>
        <v>96.360000000000014</v>
      </c>
      <c r="T19" s="15">
        <f>T17+T18</f>
        <v>222.72000000000003</v>
      </c>
      <c r="U19" s="15">
        <f t="shared" ref="U19:W19" si="6">U17+U18</f>
        <v>349.08000000000004</v>
      </c>
      <c r="V19" s="15">
        <f t="shared" si="6"/>
        <v>475.44000000000005</v>
      </c>
      <c r="W19" s="15">
        <f t="shared" si="6"/>
        <v>601.79999999999995</v>
      </c>
    </row>
    <row r="20" spans="2:28" s="1" customFormat="1" ht="13.5" thickBot="1">
      <c r="B20" s="64"/>
      <c r="C20" s="65"/>
      <c r="D20" s="65"/>
      <c r="E20" s="65"/>
      <c r="F20" s="65"/>
      <c r="G20" s="65"/>
      <c r="H20" s="65"/>
      <c r="I20" s="65"/>
      <c r="J20" s="65"/>
      <c r="K20" s="65"/>
      <c r="L20" s="66"/>
      <c r="O20" s="270" t="s">
        <v>41</v>
      </c>
      <c r="P20" s="271" t="s">
        <v>40</v>
      </c>
      <c r="Q20" s="271" t="s">
        <v>40</v>
      </c>
      <c r="R20" s="271" t="s">
        <v>40</v>
      </c>
      <c r="S20" s="271" t="s">
        <v>40</v>
      </c>
      <c r="T20" s="271" t="s">
        <v>40</v>
      </c>
      <c r="U20" s="271" t="s">
        <v>40</v>
      </c>
      <c r="V20" s="271" t="s">
        <v>40</v>
      </c>
      <c r="W20" s="272" t="s">
        <v>40</v>
      </c>
      <c r="X20" s="11"/>
      <c r="Y20" s="11"/>
      <c r="Z20" s="11"/>
      <c r="AA20" s="11"/>
      <c r="AB20" s="11"/>
    </row>
    <row r="21" spans="2:28" ht="15" customHeight="1" thickTop="1" thickBot="1">
      <c r="B21" s="258" t="s">
        <v>4</v>
      </c>
      <c r="C21" s="258"/>
      <c r="D21" s="109">
        <v>440</v>
      </c>
      <c r="E21" s="62">
        <v>1</v>
      </c>
      <c r="F21" s="109">
        <f>+D21*E21</f>
        <v>440</v>
      </c>
      <c r="G21" s="110">
        <f>D21*4380/1000</f>
        <v>1927.2</v>
      </c>
      <c r="H21" s="111">
        <f>G21*2</f>
        <v>3854.4</v>
      </c>
      <c r="I21" s="110">
        <f>G21*3</f>
        <v>5781.6</v>
      </c>
      <c r="J21" s="111">
        <f>G21*4</f>
        <v>7708.8</v>
      </c>
      <c r="K21" s="110">
        <f>G21*5</f>
        <v>9636</v>
      </c>
      <c r="L21" s="109">
        <v>6000</v>
      </c>
      <c r="O21" s="273" t="s">
        <v>34</v>
      </c>
      <c r="P21" s="274"/>
      <c r="Q21" s="275"/>
      <c r="R21" s="8">
        <f>230*Q9</f>
        <v>230</v>
      </c>
      <c r="S21" s="5"/>
      <c r="T21" s="5"/>
      <c r="U21" s="5"/>
      <c r="V21" s="5"/>
      <c r="W21" s="5"/>
    </row>
    <row r="22" spans="2:28" ht="12.75" customHeight="1" thickTop="1" thickBot="1">
      <c r="B22" s="257" t="s">
        <v>7</v>
      </c>
      <c r="C22" s="106" t="s">
        <v>67</v>
      </c>
      <c r="D22" s="98">
        <v>100</v>
      </c>
      <c r="E22" s="62">
        <v>1</v>
      </c>
      <c r="F22" s="98">
        <f>+D22*E22</f>
        <v>100</v>
      </c>
      <c r="G22" s="99">
        <f>D22*4380/1000</f>
        <v>438</v>
      </c>
      <c r="H22" s="100">
        <f>G22*2</f>
        <v>876</v>
      </c>
      <c r="I22" s="99">
        <f>G22*3</f>
        <v>1314</v>
      </c>
      <c r="J22" s="100">
        <f>G22*4</f>
        <v>1752</v>
      </c>
      <c r="K22" s="99">
        <f>G22*5</f>
        <v>2190</v>
      </c>
      <c r="L22" s="98">
        <v>50000</v>
      </c>
      <c r="O22" s="273" t="s">
        <v>31</v>
      </c>
      <c r="P22" s="274"/>
      <c r="Q22" s="275"/>
      <c r="R22" s="7"/>
      <c r="S22" s="14">
        <f>+S11*$Q$4</f>
        <v>60.225000000000001</v>
      </c>
      <c r="T22" s="14">
        <f t="shared" ref="T22:W22" si="7">+T11*$Q$4</f>
        <v>120.45</v>
      </c>
      <c r="U22" s="14">
        <f t="shared" si="7"/>
        <v>180.67500000000001</v>
      </c>
      <c r="V22" s="14">
        <f t="shared" si="7"/>
        <v>240.9</v>
      </c>
      <c r="W22" s="14">
        <f t="shared" si="7"/>
        <v>301.125</v>
      </c>
    </row>
    <row r="23" spans="2:28" ht="13.5" thickTop="1">
      <c r="B23" s="257"/>
      <c r="C23" s="103" t="s">
        <v>6</v>
      </c>
      <c r="D23" s="101">
        <f>D21-D22</f>
        <v>340</v>
      </c>
      <c r="E23" s="101"/>
      <c r="F23" s="101"/>
      <c r="G23" s="102">
        <f t="shared" ref="G23:K23" si="8">G21-G22</f>
        <v>1489.2</v>
      </c>
      <c r="H23" s="102">
        <f t="shared" si="8"/>
        <v>2978.4</v>
      </c>
      <c r="I23" s="102">
        <f t="shared" si="8"/>
        <v>4467.6000000000004</v>
      </c>
      <c r="J23" s="102">
        <f t="shared" si="8"/>
        <v>5956.8</v>
      </c>
      <c r="K23" s="102">
        <f t="shared" si="8"/>
        <v>7446</v>
      </c>
      <c r="L23" s="103"/>
      <c r="O23" s="4" t="s">
        <v>32</v>
      </c>
      <c r="P23" s="8">
        <f>38*Q9</f>
        <v>38</v>
      </c>
      <c r="Q23" s="22">
        <f>Y11</f>
        <v>7.3059360730593603</v>
      </c>
      <c r="R23" s="7"/>
      <c r="S23" s="14">
        <v>0</v>
      </c>
      <c r="T23" s="14">
        <v>0</v>
      </c>
      <c r="U23" s="14">
        <v>0</v>
      </c>
      <c r="V23" s="14">
        <v>0</v>
      </c>
      <c r="W23" s="14">
        <v>0</v>
      </c>
    </row>
    <row r="24" spans="2:28">
      <c r="B24" s="257"/>
      <c r="C24" s="106" t="s">
        <v>8</v>
      </c>
      <c r="D24" s="104"/>
      <c r="E24" s="104"/>
      <c r="F24" s="104"/>
      <c r="G24" s="105">
        <f>100-(G22/G21)*100</f>
        <v>77.27272727272728</v>
      </c>
      <c r="H24" s="105">
        <f t="shared" ref="H24:K24" si="9">100-(H22/H21)*100</f>
        <v>77.27272727272728</v>
      </c>
      <c r="I24" s="105">
        <f t="shared" si="9"/>
        <v>77.27272727272728</v>
      </c>
      <c r="J24" s="105">
        <f t="shared" si="9"/>
        <v>77.27272727272728</v>
      </c>
      <c r="K24" s="105">
        <f t="shared" si="9"/>
        <v>77.27272727272728</v>
      </c>
      <c r="L24" s="106"/>
      <c r="O24" s="286" t="s">
        <v>33</v>
      </c>
      <c r="P24" s="287"/>
      <c r="Q24" s="288"/>
      <c r="R24" s="6"/>
      <c r="S24" s="16">
        <f t="shared" ref="S24:W24" si="10">S22+S23</f>
        <v>60.225000000000001</v>
      </c>
      <c r="T24" s="16">
        <f t="shared" si="10"/>
        <v>120.45</v>
      </c>
      <c r="U24" s="16">
        <f t="shared" si="10"/>
        <v>180.67500000000001</v>
      </c>
      <c r="V24" s="16">
        <f t="shared" si="10"/>
        <v>240.9</v>
      </c>
      <c r="W24" s="16">
        <f t="shared" si="10"/>
        <v>301.125</v>
      </c>
    </row>
    <row r="25" spans="2:28">
      <c r="B25" s="257"/>
      <c r="C25" s="106" t="s">
        <v>11</v>
      </c>
      <c r="D25" s="106"/>
      <c r="E25" s="106"/>
      <c r="F25" s="106"/>
      <c r="G25" s="106"/>
      <c r="H25" s="106"/>
      <c r="I25" s="106"/>
      <c r="J25" s="106"/>
      <c r="K25" s="106"/>
      <c r="L25" s="100">
        <f>100-(L21/L22)*100</f>
        <v>88</v>
      </c>
      <c r="O25" s="286" t="s">
        <v>35</v>
      </c>
      <c r="P25" s="287"/>
      <c r="Q25" s="288"/>
      <c r="R25" s="6">
        <f>R21</f>
        <v>230</v>
      </c>
      <c r="S25" s="16">
        <f>$R$25+S24</f>
        <v>290.22500000000002</v>
      </c>
      <c r="T25" s="16">
        <f t="shared" ref="T25:W25" si="11">$R$25+T24</f>
        <v>350.45</v>
      </c>
      <c r="U25" s="16">
        <f t="shared" si="11"/>
        <v>410.67500000000001</v>
      </c>
      <c r="V25" s="16">
        <f t="shared" si="11"/>
        <v>470.9</v>
      </c>
      <c r="W25" s="16">
        <f t="shared" si="11"/>
        <v>531.125</v>
      </c>
    </row>
    <row r="26" spans="2:28" s="1" customFormat="1" ht="13.5" thickBot="1">
      <c r="B26" s="64"/>
      <c r="C26" s="65"/>
      <c r="D26" s="65"/>
      <c r="E26" s="107"/>
      <c r="F26" s="107"/>
      <c r="G26" s="107"/>
      <c r="H26" s="107"/>
      <c r="I26" s="107"/>
      <c r="J26" s="107"/>
      <c r="K26" s="107"/>
      <c r="L26" s="108"/>
      <c r="O26" s="286" t="s">
        <v>36</v>
      </c>
      <c r="P26" s="287"/>
      <c r="Q26" s="288"/>
      <c r="R26" s="76">
        <f>0-R25</f>
        <v>-230</v>
      </c>
      <c r="S26" s="77">
        <f>S19-S25</f>
        <v>-193.86500000000001</v>
      </c>
      <c r="T26" s="77">
        <f t="shared" ref="T26:W26" si="12">T19-T25</f>
        <v>-127.72999999999996</v>
      </c>
      <c r="U26" s="77">
        <f t="shared" si="12"/>
        <v>-61.59499999999997</v>
      </c>
      <c r="V26" s="77">
        <f t="shared" si="12"/>
        <v>4.5400000000000773</v>
      </c>
      <c r="W26" s="77">
        <f t="shared" si="12"/>
        <v>70.674999999999955</v>
      </c>
      <c r="X26" s="11"/>
      <c r="Y26" s="11"/>
      <c r="Z26" s="11"/>
      <c r="AA26" s="11"/>
      <c r="AB26" s="11"/>
    </row>
    <row r="27" spans="2:28" ht="15" customHeight="1" thickTop="1" thickBot="1">
      <c r="B27" s="258" t="s">
        <v>4</v>
      </c>
      <c r="C27" s="258"/>
      <c r="D27" s="109">
        <v>440</v>
      </c>
      <c r="E27" s="62">
        <v>1</v>
      </c>
      <c r="F27" s="109">
        <f>+D27*E27</f>
        <v>440</v>
      </c>
      <c r="G27" s="110">
        <f>D27*4380/1000</f>
        <v>1927.2</v>
      </c>
      <c r="H27" s="111">
        <f>G27*2</f>
        <v>3854.4</v>
      </c>
      <c r="I27" s="110">
        <f>G27*3</f>
        <v>5781.6</v>
      </c>
      <c r="J27" s="111">
        <f>G27*4</f>
        <v>7708.8</v>
      </c>
      <c r="K27" s="110">
        <f>G27*5</f>
        <v>9636</v>
      </c>
      <c r="L27" s="109">
        <v>6000</v>
      </c>
    </row>
    <row r="28" spans="2:28" ht="12.75" customHeight="1" thickTop="1" thickBot="1">
      <c r="B28" s="259" t="s">
        <v>7</v>
      </c>
      <c r="C28" s="89" t="s">
        <v>21</v>
      </c>
      <c r="D28" s="90">
        <v>275</v>
      </c>
      <c r="E28" s="62">
        <v>1</v>
      </c>
      <c r="F28" s="90">
        <f>+D28*E28</f>
        <v>275</v>
      </c>
      <c r="G28" s="97">
        <f>D28*4380/1000</f>
        <v>1204.5</v>
      </c>
      <c r="H28" s="96">
        <f>G28*2</f>
        <v>2409</v>
      </c>
      <c r="I28" s="97">
        <f>G28*3</f>
        <v>3613.5</v>
      </c>
      <c r="J28" s="96">
        <f>G28*4</f>
        <v>4818</v>
      </c>
      <c r="K28" s="97">
        <f>G28*5</f>
        <v>6022.5</v>
      </c>
      <c r="L28" s="90">
        <v>20000</v>
      </c>
      <c r="O28" s="21"/>
      <c r="P28" s="23"/>
      <c r="Q28" s="2"/>
      <c r="R28" s="2"/>
      <c r="S28" s="2"/>
      <c r="T28" s="2"/>
      <c r="U28" s="2"/>
      <c r="V28" s="2"/>
    </row>
    <row r="29" spans="2:28" ht="14.25" thickTop="1" thickBot="1">
      <c r="B29" s="259"/>
      <c r="C29" s="91" t="s">
        <v>6</v>
      </c>
      <c r="D29" s="92">
        <f>D27-D28</f>
        <v>165</v>
      </c>
      <c r="E29" s="92"/>
      <c r="F29" s="92"/>
      <c r="G29" s="94">
        <f t="shared" ref="G29:K29" si="13">G27-G28</f>
        <v>722.7</v>
      </c>
      <c r="H29" s="94">
        <f t="shared" si="13"/>
        <v>1445.4</v>
      </c>
      <c r="I29" s="94">
        <f t="shared" si="13"/>
        <v>2168.1000000000004</v>
      </c>
      <c r="J29" s="94">
        <f t="shared" si="13"/>
        <v>2890.8</v>
      </c>
      <c r="K29" s="94">
        <f t="shared" si="13"/>
        <v>3613.5</v>
      </c>
      <c r="L29" s="91"/>
      <c r="O29" s="57" t="s">
        <v>37</v>
      </c>
      <c r="P29" s="78"/>
      <c r="Q29" s="78"/>
      <c r="R29" s="62">
        <v>4</v>
      </c>
      <c r="S29" s="79" t="s">
        <v>38</v>
      </c>
      <c r="T29" s="63" t="s">
        <v>51</v>
      </c>
      <c r="U29" s="2"/>
      <c r="V29" s="2"/>
    </row>
    <row r="30" spans="2:28" ht="13.5" thickTop="1">
      <c r="B30" s="259"/>
      <c r="C30" s="89" t="s">
        <v>8</v>
      </c>
      <c r="D30" s="93"/>
      <c r="E30" s="93"/>
      <c r="F30" s="93"/>
      <c r="G30" s="95">
        <f>100-(G28/G27)*100</f>
        <v>37.5</v>
      </c>
      <c r="H30" s="95">
        <f t="shared" ref="H30:K30" si="14">100-(H28/H27)*100</f>
        <v>37.5</v>
      </c>
      <c r="I30" s="95">
        <f t="shared" si="14"/>
        <v>37.5</v>
      </c>
      <c r="J30" s="95">
        <f t="shared" si="14"/>
        <v>37.5</v>
      </c>
      <c r="K30" s="95">
        <f t="shared" si="14"/>
        <v>37.5</v>
      </c>
      <c r="L30" s="89"/>
      <c r="O30" s="59" t="s">
        <v>47</v>
      </c>
      <c r="P30" s="78"/>
      <c r="Q30" s="78"/>
      <c r="R30" s="80">
        <f>100-(S22*100)/S17</f>
        <v>37.500000000000007</v>
      </c>
      <c r="S30" s="12" t="s">
        <v>25</v>
      </c>
    </row>
    <row r="31" spans="2:28">
      <c r="B31" s="259"/>
      <c r="C31" s="89" t="s">
        <v>11</v>
      </c>
      <c r="D31" s="89"/>
      <c r="E31" s="89"/>
      <c r="F31" s="89"/>
      <c r="G31" s="89"/>
      <c r="H31" s="89"/>
      <c r="I31" s="89"/>
      <c r="J31" s="89"/>
      <c r="K31" s="89"/>
      <c r="L31" s="96">
        <f>100-(L27/L28)*100</f>
        <v>70</v>
      </c>
      <c r="O31" s="59" t="s">
        <v>39</v>
      </c>
      <c r="P31" s="78"/>
      <c r="Q31" s="78"/>
      <c r="R31" s="80">
        <v>100</v>
      </c>
      <c r="S31" s="12" t="s">
        <v>25</v>
      </c>
    </row>
    <row r="33" spans="3:15">
      <c r="C33" s="85"/>
    </row>
    <row r="34" spans="3:15">
      <c r="O34" s="48" t="s">
        <v>68</v>
      </c>
    </row>
    <row r="35" spans="3:15">
      <c r="O35" s="48" t="s">
        <v>69</v>
      </c>
    </row>
  </sheetData>
  <dataConsolidate/>
  <mergeCells count="36">
    <mergeCell ref="O26:Q26"/>
    <mergeCell ref="B27:C27"/>
    <mergeCell ref="B28:B31"/>
    <mergeCell ref="O20:W20"/>
    <mergeCell ref="B21:C21"/>
    <mergeCell ref="O21:Q21"/>
    <mergeCell ref="B22:B25"/>
    <mergeCell ref="O22:Q22"/>
    <mergeCell ref="O24:Q24"/>
    <mergeCell ref="O25:Q25"/>
    <mergeCell ref="R14:W14"/>
    <mergeCell ref="B15:C15"/>
    <mergeCell ref="B16:B19"/>
    <mergeCell ref="O16:W16"/>
    <mergeCell ref="O19:Q19"/>
    <mergeCell ref="B6:B7"/>
    <mergeCell ref="C6:C7"/>
    <mergeCell ref="D6:D7"/>
    <mergeCell ref="O14:O15"/>
    <mergeCell ref="P14:Q15"/>
    <mergeCell ref="O8:Y8"/>
    <mergeCell ref="B9:C9"/>
    <mergeCell ref="B10:B13"/>
    <mergeCell ref="O10:Y10"/>
    <mergeCell ref="O12:W12"/>
    <mergeCell ref="E6:E7"/>
    <mergeCell ref="F6:F7"/>
    <mergeCell ref="G6:K6"/>
    <mergeCell ref="X6:X7"/>
    <mergeCell ref="Y6:Y7"/>
    <mergeCell ref="L6:L7"/>
    <mergeCell ref="O6:O7"/>
    <mergeCell ref="P6:P7"/>
    <mergeCell ref="Q6:Q7"/>
    <mergeCell ref="R6:R7"/>
    <mergeCell ref="S6:W6"/>
  </mergeCells>
  <conditionalFormatting sqref="S9:W9">
    <cfRule type="colorScale" priority="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S11:W11">
    <cfRule type="colorScale" priority="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S9:W9 S11:W11">
    <cfRule type="colorScale" priority="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R17:W19 S21:W21 R22:W26">
    <cfRule type="colorScale" priority="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R32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S29 U29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S9:W9 O9:O11 S11:W11">
    <cfRule type="colorScale" priority="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S9:W9">
    <cfRule type="colorScale" priority="1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S11:W11">
    <cfRule type="colorScale" priority="1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S9:W9">
    <cfRule type="colorScale" priority="1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R9:W9 R11:W11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T29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pageSetup paperSize="9" orientation="landscape" r:id="rId1"/>
  <headerFooter>
    <oddHeader>&amp;C&amp;"-,Bold"&amp;U&amp;K03+000PRORAČUN ZAMJENE SIJALICA U JAVNOJ RASVJETI</oddHeader>
    <oddFooter>&amp;L&amp;KC00000GIZ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2:AE42"/>
  <sheetViews>
    <sheetView showGridLines="0" tabSelected="1" showWhiteSpace="0" zoomScale="70" zoomScaleNormal="70" zoomScalePageLayoutView="90" workbookViewId="0">
      <selection activeCell="T29" sqref="T29"/>
    </sheetView>
  </sheetViews>
  <sheetFormatPr defaultRowHeight="12.75"/>
  <cols>
    <col min="1" max="1" width="3.7109375" style="11" customWidth="1"/>
    <col min="2" max="2" width="17.7109375" style="35" customWidth="1"/>
    <col min="3" max="15" width="7.7109375" style="35" customWidth="1"/>
    <col min="16" max="16" width="3.7109375" style="78" customWidth="1"/>
    <col min="17" max="17" width="17.7109375" style="35" customWidth="1"/>
    <col min="18" max="30" width="7.7109375" style="35" customWidth="1"/>
    <col min="31" max="16384" width="9.140625" style="35"/>
  </cols>
  <sheetData>
    <row r="2" spans="1:31" ht="24.75">
      <c r="B2" s="133" t="s">
        <v>56</v>
      </c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35"/>
      <c r="Q2" s="133" t="s">
        <v>57</v>
      </c>
      <c r="R2" s="146"/>
      <c r="S2" s="146"/>
      <c r="T2" s="146"/>
      <c r="U2" s="146"/>
      <c r="V2" s="146"/>
      <c r="W2" s="146"/>
      <c r="X2" s="146"/>
      <c r="Y2" s="146"/>
      <c r="Z2" s="146"/>
      <c r="AA2" s="146"/>
      <c r="AB2" s="146"/>
      <c r="AC2" s="146"/>
      <c r="AD2" s="146"/>
    </row>
    <row r="3" spans="1:31" ht="13.5" thickBot="1"/>
    <row r="4" spans="1:31" ht="14.25" thickTop="1" thickBot="1">
      <c r="B4" s="87" t="s">
        <v>79</v>
      </c>
      <c r="C4" s="147" t="s">
        <v>80</v>
      </c>
      <c r="G4" s="3" t="s">
        <v>95</v>
      </c>
      <c r="H4" s="11"/>
      <c r="J4" s="62">
        <v>0.05</v>
      </c>
      <c r="K4" s="11" t="s">
        <v>96</v>
      </c>
      <c r="Q4" s="87" t="s">
        <v>79</v>
      </c>
      <c r="R4" s="147" t="s">
        <v>80</v>
      </c>
      <c r="V4" s="3" t="s">
        <v>95</v>
      </c>
      <c r="W4" s="11"/>
      <c r="Y4" s="62">
        <v>0.05</v>
      </c>
      <c r="Z4" s="11" t="s">
        <v>96</v>
      </c>
    </row>
    <row r="5" spans="1:31" ht="13.5" thickTop="1"/>
    <row r="6" spans="1:31" ht="25.5" customHeight="1">
      <c r="B6" s="265" t="s">
        <v>0</v>
      </c>
      <c r="C6" s="265" t="s">
        <v>48</v>
      </c>
      <c r="D6" s="74" t="s">
        <v>49</v>
      </c>
      <c r="E6" s="74" t="s">
        <v>50</v>
      </c>
      <c r="F6" s="278" t="s">
        <v>26</v>
      </c>
      <c r="G6" s="279"/>
      <c r="H6" s="279"/>
      <c r="I6" s="279"/>
      <c r="J6" s="279"/>
      <c r="K6" s="279"/>
      <c r="L6" s="279"/>
      <c r="M6" s="280"/>
      <c r="N6" s="68" t="s">
        <v>42</v>
      </c>
      <c r="O6" s="265" t="s">
        <v>52</v>
      </c>
      <c r="Q6" s="265" t="s">
        <v>0</v>
      </c>
      <c r="R6" s="265" t="s">
        <v>48</v>
      </c>
      <c r="S6" s="74" t="s">
        <v>49</v>
      </c>
      <c r="T6" s="74" t="s">
        <v>50</v>
      </c>
      <c r="U6" s="278" t="s">
        <v>26</v>
      </c>
      <c r="V6" s="279"/>
      <c r="W6" s="279"/>
      <c r="X6" s="279"/>
      <c r="Y6" s="279"/>
      <c r="Z6" s="279"/>
      <c r="AA6" s="279"/>
      <c r="AB6" s="280"/>
      <c r="AC6" s="68" t="s">
        <v>42</v>
      </c>
      <c r="AD6" s="265" t="s">
        <v>52</v>
      </c>
    </row>
    <row r="7" spans="1:31">
      <c r="B7" s="266"/>
      <c r="C7" s="266"/>
      <c r="D7" s="75"/>
      <c r="E7" s="75"/>
      <c r="F7" s="68">
        <v>1</v>
      </c>
      <c r="G7" s="68">
        <v>2</v>
      </c>
      <c r="H7" s="68">
        <v>3</v>
      </c>
      <c r="I7" s="68">
        <v>4</v>
      </c>
      <c r="J7" s="68">
        <v>5</v>
      </c>
      <c r="K7" s="68">
        <v>6</v>
      </c>
      <c r="L7" s="68">
        <v>7</v>
      </c>
      <c r="M7" s="68">
        <v>8</v>
      </c>
      <c r="N7" s="68"/>
      <c r="O7" s="266"/>
      <c r="Q7" s="266"/>
      <c r="R7" s="266"/>
      <c r="S7" s="75"/>
      <c r="T7" s="75"/>
      <c r="U7" s="68">
        <v>1</v>
      </c>
      <c r="V7" s="68">
        <v>2</v>
      </c>
      <c r="W7" s="68">
        <v>3</v>
      </c>
      <c r="X7" s="68">
        <v>4</v>
      </c>
      <c r="Y7" s="68">
        <v>5</v>
      </c>
      <c r="Z7" s="68">
        <v>6</v>
      </c>
      <c r="AA7" s="68">
        <v>7</v>
      </c>
      <c r="AB7" s="68">
        <v>8</v>
      </c>
      <c r="AC7" s="68"/>
      <c r="AD7" s="266"/>
    </row>
    <row r="8" spans="1:31" ht="13.5" thickBot="1">
      <c r="B8" s="297" t="s">
        <v>9</v>
      </c>
      <c r="C8" s="298"/>
      <c r="D8" s="298"/>
      <c r="E8" s="298"/>
      <c r="F8" s="298"/>
      <c r="G8" s="298"/>
      <c r="H8" s="298"/>
      <c r="I8" s="298"/>
      <c r="J8" s="298"/>
      <c r="K8" s="298"/>
      <c r="L8" s="298"/>
      <c r="M8" s="298"/>
      <c r="N8" s="298"/>
      <c r="O8" s="299"/>
      <c r="P8" s="1"/>
      <c r="Q8" s="290" t="s">
        <v>9</v>
      </c>
      <c r="R8" s="291"/>
      <c r="S8" s="291"/>
      <c r="T8" s="291"/>
      <c r="U8" s="291"/>
      <c r="V8" s="291"/>
      <c r="W8" s="291"/>
      <c r="X8" s="291"/>
      <c r="Y8" s="291"/>
      <c r="Z8" s="291"/>
      <c r="AA8" s="291"/>
      <c r="AB8" s="291"/>
      <c r="AC8" s="291"/>
      <c r="AD8" s="292"/>
    </row>
    <row r="9" spans="1:31" ht="14.25" thickTop="1" thickBot="1">
      <c r="B9" s="36" t="s">
        <v>2</v>
      </c>
      <c r="C9" s="35">
        <v>145</v>
      </c>
      <c r="D9" s="62">
        <v>10</v>
      </c>
      <c r="E9" s="37">
        <f>+C9*D9</f>
        <v>1450</v>
      </c>
      <c r="F9" s="19">
        <f>4380/1000*E$9</f>
        <v>6351</v>
      </c>
      <c r="G9" s="38">
        <f>$F$9*G7</f>
        <v>12702</v>
      </c>
      <c r="H9" s="39">
        <f>$F$9*H7</f>
        <v>19053</v>
      </c>
      <c r="I9" s="38">
        <f t="shared" ref="I9:M9" si="0">$F$9*I7</f>
        <v>25404</v>
      </c>
      <c r="J9" s="39">
        <f t="shared" si="0"/>
        <v>31755</v>
      </c>
      <c r="K9" s="39">
        <f t="shared" si="0"/>
        <v>38106</v>
      </c>
      <c r="L9" s="39">
        <f t="shared" si="0"/>
        <v>44457</v>
      </c>
      <c r="M9" s="39">
        <f t="shared" si="0"/>
        <v>50808</v>
      </c>
      <c r="N9" s="49">
        <v>6000</v>
      </c>
      <c r="O9" s="40">
        <f>N9/12/365</f>
        <v>1.3698630136986301</v>
      </c>
      <c r="Q9" s="60" t="s">
        <v>3</v>
      </c>
      <c r="R9" s="35">
        <v>275</v>
      </c>
      <c r="S9" s="62">
        <v>1</v>
      </c>
      <c r="T9" s="37">
        <f>+R9*S9</f>
        <v>275</v>
      </c>
      <c r="U9" s="19">
        <f>4380/1000*T$9</f>
        <v>1204.5</v>
      </c>
      <c r="V9" s="38">
        <f t="shared" ref="V9:AB9" si="1">$U$9*V7</f>
        <v>2409</v>
      </c>
      <c r="W9" s="39">
        <f t="shared" si="1"/>
        <v>3613.5</v>
      </c>
      <c r="X9" s="38">
        <f t="shared" si="1"/>
        <v>4818</v>
      </c>
      <c r="Y9" s="39">
        <f t="shared" si="1"/>
        <v>6022.5</v>
      </c>
      <c r="Z9" s="39">
        <f t="shared" si="1"/>
        <v>7227</v>
      </c>
      <c r="AA9" s="39">
        <f t="shared" si="1"/>
        <v>8431.5</v>
      </c>
      <c r="AB9" s="39">
        <f t="shared" si="1"/>
        <v>9636</v>
      </c>
      <c r="AC9" s="49">
        <v>6000</v>
      </c>
      <c r="AD9" s="31">
        <f>AC9/12/365</f>
        <v>1.3698630136986301</v>
      </c>
    </row>
    <row r="10" spans="1:31" ht="13.5" thickTop="1">
      <c r="B10" s="297" t="s">
        <v>24</v>
      </c>
      <c r="C10" s="298"/>
      <c r="D10" s="298"/>
      <c r="E10" s="298"/>
      <c r="F10" s="298"/>
      <c r="G10" s="298"/>
      <c r="H10" s="298"/>
      <c r="I10" s="298"/>
      <c r="J10" s="298"/>
      <c r="K10" s="298"/>
      <c r="L10" s="298"/>
      <c r="M10" s="298"/>
      <c r="N10" s="298"/>
      <c r="O10" s="299"/>
      <c r="Q10" s="290" t="s">
        <v>24</v>
      </c>
      <c r="R10" s="291"/>
      <c r="S10" s="291"/>
      <c r="T10" s="291"/>
      <c r="U10" s="291"/>
      <c r="V10" s="291"/>
      <c r="W10" s="291"/>
      <c r="X10" s="291"/>
      <c r="Y10" s="291"/>
      <c r="Z10" s="291"/>
      <c r="AA10" s="291"/>
      <c r="AB10" s="291"/>
      <c r="AC10" s="291"/>
      <c r="AD10" s="292"/>
    </row>
    <row r="11" spans="1:31">
      <c r="B11" s="41" t="s">
        <v>22</v>
      </c>
      <c r="C11" s="49">
        <v>83</v>
      </c>
      <c r="D11" s="49">
        <f>D9</f>
        <v>10</v>
      </c>
      <c r="E11" s="32">
        <f>+C11*D11</f>
        <v>830</v>
      </c>
      <c r="F11" s="20">
        <f>4380/1000*E$11</f>
        <v>3635.4</v>
      </c>
      <c r="G11" s="33">
        <f>$F$11*G7</f>
        <v>7270.8</v>
      </c>
      <c r="H11" s="33">
        <f t="shared" ref="H11:M11" si="2">$F$11*H7</f>
        <v>10906.2</v>
      </c>
      <c r="I11" s="33">
        <f t="shared" si="2"/>
        <v>14541.6</v>
      </c>
      <c r="J11" s="33">
        <f t="shared" si="2"/>
        <v>18177</v>
      </c>
      <c r="K11" s="33">
        <f t="shared" si="2"/>
        <v>21812.400000000001</v>
      </c>
      <c r="L11" s="33">
        <f t="shared" si="2"/>
        <v>25447.8</v>
      </c>
      <c r="M11" s="33">
        <f t="shared" si="2"/>
        <v>29083.200000000001</v>
      </c>
      <c r="N11" s="49">
        <v>50000</v>
      </c>
      <c r="O11" s="31">
        <f>N11/12/365</f>
        <v>11.415525114155251</v>
      </c>
      <c r="Q11" s="61" t="s">
        <v>23</v>
      </c>
      <c r="R11" s="49">
        <v>107</v>
      </c>
      <c r="S11" s="49">
        <f>S9</f>
        <v>1</v>
      </c>
      <c r="T11" s="32">
        <f>+R11*S11</f>
        <v>107</v>
      </c>
      <c r="U11" s="20">
        <f>4380/1000*T$11</f>
        <v>468.65999999999997</v>
      </c>
      <c r="V11" s="33">
        <f t="shared" ref="V11:AB11" si="3">$U$11*V7</f>
        <v>937.31999999999994</v>
      </c>
      <c r="W11" s="33">
        <f t="shared" si="3"/>
        <v>1405.98</v>
      </c>
      <c r="X11" s="33">
        <f t="shared" si="3"/>
        <v>1874.6399999999999</v>
      </c>
      <c r="Y11" s="33">
        <f t="shared" si="3"/>
        <v>2343.2999999999997</v>
      </c>
      <c r="Z11" s="34">
        <f t="shared" si="3"/>
        <v>2811.96</v>
      </c>
      <c r="AA11" s="34">
        <f t="shared" si="3"/>
        <v>3280.62</v>
      </c>
      <c r="AB11" s="34">
        <f t="shared" si="3"/>
        <v>3749.2799999999997</v>
      </c>
      <c r="AC11" s="49">
        <v>50000</v>
      </c>
      <c r="AD11" s="31">
        <f>AC11/12/365</f>
        <v>11.415525114155251</v>
      </c>
    </row>
    <row r="12" spans="1:31">
      <c r="B12" s="309" t="s">
        <v>28</v>
      </c>
      <c r="C12" s="310"/>
      <c r="D12" s="310"/>
      <c r="E12" s="310"/>
      <c r="F12" s="310"/>
      <c r="G12" s="310"/>
      <c r="H12" s="310"/>
      <c r="I12" s="310"/>
      <c r="J12" s="310"/>
      <c r="K12" s="310"/>
      <c r="L12" s="310"/>
      <c r="M12" s="311"/>
      <c r="N12" s="293">
        <f>100-(N9*100)/N11</f>
        <v>88</v>
      </c>
      <c r="O12" s="293"/>
      <c r="Q12" s="290" t="s">
        <v>28</v>
      </c>
      <c r="R12" s="291"/>
      <c r="S12" s="291"/>
      <c r="T12" s="291"/>
      <c r="U12" s="291"/>
      <c r="V12" s="291"/>
      <c r="W12" s="291"/>
      <c r="X12" s="291"/>
      <c r="Y12" s="291"/>
      <c r="Z12" s="291"/>
      <c r="AA12" s="291"/>
      <c r="AB12" s="292"/>
      <c r="AC12" s="293">
        <f>100-(AC9*100)/AC11</f>
        <v>88</v>
      </c>
      <c r="AD12" s="293"/>
      <c r="AE12" s="42"/>
    </row>
    <row r="14" spans="1:31" ht="15" customHeight="1">
      <c r="A14" s="13"/>
      <c r="B14" s="282" t="s">
        <v>0</v>
      </c>
      <c r="C14" s="69" t="s">
        <v>29</v>
      </c>
      <c r="D14" s="70"/>
      <c r="E14" s="283" t="s">
        <v>30</v>
      </c>
      <c r="F14" s="283"/>
      <c r="G14" s="283"/>
      <c r="H14" s="283"/>
      <c r="I14" s="283"/>
      <c r="J14" s="283"/>
      <c r="K14" s="283"/>
      <c r="L14" s="283"/>
      <c r="M14" s="283"/>
      <c r="P14" s="1"/>
      <c r="Q14" s="282" t="s">
        <v>0</v>
      </c>
      <c r="R14" s="69" t="s">
        <v>29</v>
      </c>
      <c r="S14" s="70"/>
      <c r="T14" s="283" t="s">
        <v>30</v>
      </c>
      <c r="U14" s="283"/>
      <c r="V14" s="283"/>
      <c r="W14" s="283"/>
      <c r="X14" s="283"/>
      <c r="Y14" s="283"/>
      <c r="Z14" s="283"/>
      <c r="AA14" s="283"/>
      <c r="AB14" s="283"/>
    </row>
    <row r="15" spans="1:31">
      <c r="B15" s="282"/>
      <c r="C15" s="71"/>
      <c r="D15" s="72"/>
      <c r="E15" s="68">
        <v>0</v>
      </c>
      <c r="F15" s="73">
        <v>1</v>
      </c>
      <c r="G15" s="73">
        <v>2</v>
      </c>
      <c r="H15" s="73">
        <v>3</v>
      </c>
      <c r="I15" s="73">
        <v>4</v>
      </c>
      <c r="J15" s="73">
        <v>5</v>
      </c>
      <c r="K15" s="73">
        <v>6</v>
      </c>
      <c r="L15" s="73">
        <v>7</v>
      </c>
      <c r="M15" s="73">
        <v>8</v>
      </c>
      <c r="Q15" s="282"/>
      <c r="R15" s="71"/>
      <c r="S15" s="72"/>
      <c r="T15" s="68">
        <v>0</v>
      </c>
      <c r="U15" s="73">
        <v>1</v>
      </c>
      <c r="V15" s="73">
        <v>2</v>
      </c>
      <c r="W15" s="73">
        <v>3</v>
      </c>
      <c r="X15" s="73">
        <v>4</v>
      </c>
      <c r="Y15" s="73">
        <v>5</v>
      </c>
      <c r="Z15" s="73">
        <v>6</v>
      </c>
      <c r="AA15" s="73">
        <v>7</v>
      </c>
      <c r="AB15" s="73">
        <v>8</v>
      </c>
    </row>
    <row r="16" spans="1:31">
      <c r="B16" s="306" t="str">
        <f>+B9</f>
        <v>Živa 125W</v>
      </c>
      <c r="C16" s="307"/>
      <c r="D16" s="307"/>
      <c r="E16" s="307"/>
      <c r="F16" s="307"/>
      <c r="G16" s="307"/>
      <c r="H16" s="307"/>
      <c r="I16" s="307"/>
      <c r="J16" s="307"/>
      <c r="K16" s="307"/>
      <c r="L16" s="307"/>
      <c r="M16" s="308"/>
      <c r="Q16" s="303" t="s">
        <v>3</v>
      </c>
      <c r="R16" s="304"/>
      <c r="S16" s="304"/>
      <c r="T16" s="304"/>
      <c r="U16" s="304"/>
      <c r="V16" s="304"/>
      <c r="W16" s="304"/>
      <c r="X16" s="304"/>
      <c r="Y16" s="304"/>
      <c r="Z16" s="304"/>
      <c r="AA16" s="304"/>
      <c r="AB16" s="305"/>
    </row>
    <row r="17" spans="1:31">
      <c r="B17" s="43" t="s">
        <v>31</v>
      </c>
      <c r="C17" s="44"/>
      <c r="D17" s="45"/>
      <c r="E17" s="46"/>
      <c r="F17" s="47">
        <f>+F9*$J$4</f>
        <v>317.55</v>
      </c>
      <c r="G17" s="47">
        <f t="shared" ref="G17:M17" si="4">+G9*$J$4</f>
        <v>635.1</v>
      </c>
      <c r="H17" s="47">
        <f t="shared" si="4"/>
        <v>952.65000000000009</v>
      </c>
      <c r="I17" s="47">
        <f t="shared" si="4"/>
        <v>1270.2</v>
      </c>
      <c r="J17" s="47">
        <f t="shared" si="4"/>
        <v>1587.75</v>
      </c>
      <c r="K17" s="47">
        <f t="shared" si="4"/>
        <v>1905.3000000000002</v>
      </c>
      <c r="L17" s="47">
        <f t="shared" si="4"/>
        <v>2222.85</v>
      </c>
      <c r="M17" s="47">
        <f t="shared" si="4"/>
        <v>2540.4</v>
      </c>
      <c r="Q17" s="294" t="s">
        <v>31</v>
      </c>
      <c r="R17" s="295"/>
      <c r="S17" s="296"/>
      <c r="T17" s="46"/>
      <c r="U17" s="47">
        <f>+U9*$Y$4</f>
        <v>60.225000000000001</v>
      </c>
      <c r="V17" s="47">
        <f t="shared" ref="V17:AB17" si="5">+V9*$Y$4</f>
        <v>120.45</v>
      </c>
      <c r="W17" s="47">
        <f t="shared" si="5"/>
        <v>180.67500000000001</v>
      </c>
      <c r="X17" s="47">
        <f t="shared" si="5"/>
        <v>240.9</v>
      </c>
      <c r="Y17" s="47">
        <f t="shared" si="5"/>
        <v>301.125</v>
      </c>
      <c r="Z17" s="47">
        <f t="shared" si="5"/>
        <v>361.35</v>
      </c>
      <c r="AA17" s="47">
        <f t="shared" si="5"/>
        <v>421.57500000000005</v>
      </c>
      <c r="AB17" s="47">
        <f t="shared" si="5"/>
        <v>481.8</v>
      </c>
      <c r="AE17" s="48"/>
    </row>
    <row r="18" spans="1:31">
      <c r="A18" s="1"/>
      <c r="B18" s="43" t="s">
        <v>32</v>
      </c>
      <c r="C18" s="49">
        <f>24*D9</f>
        <v>240</v>
      </c>
      <c r="D18" s="31">
        <f>O9</f>
        <v>1.3698630136986301</v>
      </c>
      <c r="E18" s="46"/>
      <c r="F18" s="47">
        <f>+E15*$C$18</f>
        <v>0</v>
      </c>
      <c r="G18" s="47">
        <f>+F15*$C$18</f>
        <v>240</v>
      </c>
      <c r="H18" s="47">
        <f>+G15*$C$18</f>
        <v>480</v>
      </c>
      <c r="I18" s="47">
        <f>+H15*$C$18</f>
        <v>720</v>
      </c>
      <c r="J18" s="47">
        <f>+I15*$C$18</f>
        <v>960</v>
      </c>
      <c r="K18" s="47">
        <f>+I15*$C$18</f>
        <v>960</v>
      </c>
      <c r="L18" s="47">
        <f>+J15*$C$18</f>
        <v>1200</v>
      </c>
      <c r="M18" s="47">
        <f>+K15*$C$18</f>
        <v>1440</v>
      </c>
      <c r="Q18" s="43" t="s">
        <v>32</v>
      </c>
      <c r="R18" s="49">
        <f>28*S9</f>
        <v>28</v>
      </c>
      <c r="S18" s="31">
        <f>+AD9</f>
        <v>1.3698630136986301</v>
      </c>
      <c r="T18" s="46"/>
      <c r="U18" s="47">
        <f>$R$18*T15*$S$9</f>
        <v>0</v>
      </c>
      <c r="V18" s="47">
        <f>$R$18*U15</f>
        <v>28</v>
      </c>
      <c r="W18" s="47">
        <f>$R$18*V15</f>
        <v>56</v>
      </c>
      <c r="X18" s="47">
        <f>$R$18*W15</f>
        <v>84</v>
      </c>
      <c r="Y18" s="47">
        <f>$R$18*X15</f>
        <v>112</v>
      </c>
      <c r="Z18" s="47">
        <f>$R$18*X15</f>
        <v>112</v>
      </c>
      <c r="AA18" s="47">
        <f>$R$18*Y15</f>
        <v>140</v>
      </c>
      <c r="AB18" s="47">
        <f>$R$18*Z15</f>
        <v>168</v>
      </c>
      <c r="AE18" s="48"/>
    </row>
    <row r="19" spans="1:31">
      <c r="B19" s="300" t="s">
        <v>33</v>
      </c>
      <c r="C19" s="301"/>
      <c r="D19" s="302"/>
      <c r="E19" s="50"/>
      <c r="F19" s="51">
        <f>F17+F18</f>
        <v>317.55</v>
      </c>
      <c r="G19" s="51">
        <f t="shared" ref="G19:J19" si="6">G17+G18</f>
        <v>875.1</v>
      </c>
      <c r="H19" s="51">
        <f t="shared" si="6"/>
        <v>1432.65</v>
      </c>
      <c r="I19" s="51">
        <f t="shared" si="6"/>
        <v>1990.2</v>
      </c>
      <c r="J19" s="51">
        <f t="shared" si="6"/>
        <v>2547.75</v>
      </c>
      <c r="K19" s="51">
        <f t="shared" ref="K19:L19" si="7">K17+K18</f>
        <v>2865.3</v>
      </c>
      <c r="L19" s="51">
        <f t="shared" si="7"/>
        <v>3422.85</v>
      </c>
      <c r="M19" s="51">
        <f>M17+M18</f>
        <v>3980.4</v>
      </c>
      <c r="Q19" s="242" t="s">
        <v>33</v>
      </c>
      <c r="R19" s="241"/>
      <c r="S19" s="241"/>
      <c r="T19" s="243"/>
      <c r="U19" s="244">
        <f>U17+U18</f>
        <v>60.225000000000001</v>
      </c>
      <c r="V19" s="244">
        <f t="shared" ref="V19:AA19" si="8">V17+V18</f>
        <v>148.44999999999999</v>
      </c>
      <c r="W19" s="244">
        <f t="shared" si="8"/>
        <v>236.67500000000001</v>
      </c>
      <c r="X19" s="244">
        <f t="shared" si="8"/>
        <v>324.89999999999998</v>
      </c>
      <c r="Y19" s="244">
        <f t="shared" si="8"/>
        <v>413.125</v>
      </c>
      <c r="Z19" s="244">
        <f t="shared" si="8"/>
        <v>473.35</v>
      </c>
      <c r="AA19" s="244">
        <f t="shared" si="8"/>
        <v>561.57500000000005</v>
      </c>
      <c r="AB19" s="244">
        <f>AB17+AB18</f>
        <v>649.79999999999995</v>
      </c>
    </row>
    <row r="20" spans="1:31">
      <c r="B20" s="297" t="str">
        <f>+B11</f>
        <v>LED73/740 DM</v>
      </c>
      <c r="C20" s="298"/>
      <c r="D20" s="298"/>
      <c r="E20" s="298"/>
      <c r="F20" s="298"/>
      <c r="G20" s="298"/>
      <c r="H20" s="298"/>
      <c r="I20" s="298"/>
      <c r="J20" s="298"/>
      <c r="K20" s="298"/>
      <c r="L20" s="298"/>
      <c r="M20" s="299"/>
      <c r="P20" s="1"/>
      <c r="Q20" s="290" t="s">
        <v>23</v>
      </c>
      <c r="R20" s="291"/>
      <c r="S20" s="291"/>
      <c r="T20" s="291"/>
      <c r="U20" s="291"/>
      <c r="V20" s="291"/>
      <c r="W20" s="291"/>
      <c r="X20" s="291"/>
      <c r="Y20" s="291"/>
      <c r="Z20" s="291"/>
      <c r="AA20" s="291"/>
      <c r="AB20" s="292"/>
      <c r="AE20" s="48"/>
    </row>
    <row r="21" spans="1:31">
      <c r="B21" s="315" t="s">
        <v>34</v>
      </c>
      <c r="C21" s="316"/>
      <c r="D21" s="317"/>
      <c r="E21" s="35">
        <f>215*D9</f>
        <v>2150</v>
      </c>
      <c r="F21" s="52"/>
      <c r="G21" s="52"/>
      <c r="H21" s="52"/>
      <c r="I21" s="52"/>
      <c r="J21" s="52"/>
      <c r="K21" s="52"/>
      <c r="L21" s="52"/>
      <c r="M21" s="52"/>
      <c r="Q21" s="318" t="s">
        <v>34</v>
      </c>
      <c r="R21" s="318"/>
      <c r="S21" s="318"/>
      <c r="T21" s="49">
        <f>366*S9</f>
        <v>366</v>
      </c>
      <c r="U21" s="52"/>
      <c r="V21" s="52"/>
      <c r="W21" s="52"/>
      <c r="X21" s="52"/>
      <c r="Y21" s="52"/>
      <c r="Z21" s="52"/>
      <c r="AA21" s="52"/>
      <c r="AB21" s="52"/>
      <c r="AE21" s="48"/>
    </row>
    <row r="22" spans="1:31">
      <c r="B22" s="294" t="s">
        <v>31</v>
      </c>
      <c r="C22" s="295"/>
      <c r="D22" s="296"/>
      <c r="E22" s="46"/>
      <c r="F22" s="47">
        <f>+F11*$J$4</f>
        <v>181.77</v>
      </c>
      <c r="G22" s="47">
        <f t="shared" ref="G22:M22" si="9">+G11*$J$4</f>
        <v>363.54</v>
      </c>
      <c r="H22" s="47">
        <f t="shared" si="9"/>
        <v>545.31000000000006</v>
      </c>
      <c r="I22" s="47">
        <f t="shared" si="9"/>
        <v>727.08</v>
      </c>
      <c r="J22" s="47">
        <f t="shared" si="9"/>
        <v>908.85</v>
      </c>
      <c r="K22" s="47">
        <f t="shared" si="9"/>
        <v>1090.6200000000001</v>
      </c>
      <c r="L22" s="47">
        <f t="shared" si="9"/>
        <v>1272.3900000000001</v>
      </c>
      <c r="M22" s="47">
        <f t="shared" si="9"/>
        <v>1454.16</v>
      </c>
      <c r="Q22" s="294" t="s">
        <v>31</v>
      </c>
      <c r="R22" s="295"/>
      <c r="S22" s="296"/>
      <c r="T22" s="46"/>
      <c r="U22" s="47">
        <f>+U11*$Y$4</f>
        <v>23.433</v>
      </c>
      <c r="V22" s="47">
        <f t="shared" ref="V22:AB22" si="10">+V11*$Y$4</f>
        <v>46.866</v>
      </c>
      <c r="W22" s="47">
        <f t="shared" si="10"/>
        <v>70.299000000000007</v>
      </c>
      <c r="X22" s="47">
        <f t="shared" si="10"/>
        <v>93.731999999999999</v>
      </c>
      <c r="Y22" s="47">
        <f t="shared" si="10"/>
        <v>117.16499999999999</v>
      </c>
      <c r="Z22" s="47">
        <f t="shared" si="10"/>
        <v>140.59800000000001</v>
      </c>
      <c r="AA22" s="47">
        <f t="shared" si="10"/>
        <v>164.03100000000001</v>
      </c>
      <c r="AB22" s="47">
        <f t="shared" si="10"/>
        <v>187.464</v>
      </c>
      <c r="AE22" s="48"/>
    </row>
    <row r="23" spans="1:31">
      <c r="B23" s="43" t="s">
        <v>32</v>
      </c>
      <c r="C23" s="49">
        <f>235*D9</f>
        <v>2350</v>
      </c>
      <c r="D23" s="31">
        <f>O11</f>
        <v>11.415525114155251</v>
      </c>
      <c r="E23" s="46"/>
      <c r="F23" s="47">
        <v>0</v>
      </c>
      <c r="G23" s="47">
        <v>0</v>
      </c>
      <c r="H23" s="47">
        <v>0</v>
      </c>
      <c r="I23" s="47">
        <v>0</v>
      </c>
      <c r="J23" s="47">
        <v>0</v>
      </c>
      <c r="K23" s="47">
        <v>0</v>
      </c>
      <c r="L23" s="47">
        <v>0</v>
      </c>
      <c r="M23" s="47">
        <v>0</v>
      </c>
      <c r="Q23" s="43" t="s">
        <v>32</v>
      </c>
      <c r="R23" s="49">
        <f>366*S9</f>
        <v>366</v>
      </c>
      <c r="S23" s="31">
        <f>+AD11</f>
        <v>11.415525114155251</v>
      </c>
      <c r="T23" s="46"/>
      <c r="U23" s="47">
        <v>0</v>
      </c>
      <c r="V23" s="47">
        <v>0</v>
      </c>
      <c r="W23" s="47">
        <v>0</v>
      </c>
      <c r="X23" s="47">
        <v>0</v>
      </c>
      <c r="Y23" s="47">
        <v>0</v>
      </c>
      <c r="Z23" s="47">
        <v>0</v>
      </c>
      <c r="AA23" s="47">
        <v>0</v>
      </c>
      <c r="AB23" s="47">
        <v>0</v>
      </c>
      <c r="AE23" s="48"/>
    </row>
    <row r="24" spans="1:31">
      <c r="A24" s="1"/>
      <c r="B24" s="300" t="s">
        <v>33</v>
      </c>
      <c r="C24" s="301"/>
      <c r="D24" s="302"/>
      <c r="E24" s="50"/>
      <c r="F24" s="53">
        <f t="shared" ref="F24:M24" si="11">F22+F23</f>
        <v>181.77</v>
      </c>
      <c r="G24" s="53">
        <f t="shared" si="11"/>
        <v>363.54</v>
      </c>
      <c r="H24" s="53">
        <f t="shared" si="11"/>
        <v>545.31000000000006</v>
      </c>
      <c r="I24" s="53">
        <f t="shared" si="11"/>
        <v>727.08</v>
      </c>
      <c r="J24" s="53">
        <f t="shared" si="11"/>
        <v>908.85</v>
      </c>
      <c r="K24" s="53">
        <f t="shared" si="11"/>
        <v>1090.6200000000001</v>
      </c>
      <c r="L24" s="53">
        <f t="shared" si="11"/>
        <v>1272.3900000000001</v>
      </c>
      <c r="M24" s="53">
        <f t="shared" si="11"/>
        <v>1454.16</v>
      </c>
      <c r="Q24" s="300" t="s">
        <v>33</v>
      </c>
      <c r="R24" s="301"/>
      <c r="S24" s="302"/>
      <c r="T24" s="50"/>
      <c r="U24" s="53">
        <f t="shared" ref="U24:AB24" si="12">U22+U23</f>
        <v>23.433</v>
      </c>
      <c r="V24" s="53">
        <f t="shared" si="12"/>
        <v>46.866</v>
      </c>
      <c r="W24" s="53">
        <f t="shared" si="12"/>
        <v>70.299000000000007</v>
      </c>
      <c r="X24" s="53">
        <f t="shared" si="12"/>
        <v>93.731999999999999</v>
      </c>
      <c r="Y24" s="53">
        <f t="shared" si="12"/>
        <v>117.16499999999999</v>
      </c>
      <c r="Z24" s="53">
        <f t="shared" si="12"/>
        <v>140.59800000000001</v>
      </c>
      <c r="AA24" s="53">
        <f t="shared" si="12"/>
        <v>164.03100000000001</v>
      </c>
      <c r="AB24" s="53">
        <f t="shared" si="12"/>
        <v>187.464</v>
      </c>
    </row>
    <row r="25" spans="1:31">
      <c r="B25" s="312" t="s">
        <v>35</v>
      </c>
      <c r="C25" s="313"/>
      <c r="D25" s="314"/>
      <c r="E25" s="52">
        <f>E21</f>
        <v>2150</v>
      </c>
      <c r="F25" s="47">
        <f>F24+E25</f>
        <v>2331.77</v>
      </c>
      <c r="G25" s="47">
        <f>G24+E25</f>
        <v>2513.54</v>
      </c>
      <c r="H25" s="47">
        <f>H24+E25</f>
        <v>2695.31</v>
      </c>
      <c r="I25" s="47">
        <f>I24+E25</f>
        <v>2877.08</v>
      </c>
      <c r="J25" s="47">
        <f>J24+E25</f>
        <v>3058.85</v>
      </c>
      <c r="K25" s="47">
        <f>K24+E25</f>
        <v>3240.62</v>
      </c>
      <c r="L25" s="47">
        <f>L24+E25</f>
        <v>3422.3900000000003</v>
      </c>
      <c r="M25" s="47">
        <f>M24+E25</f>
        <v>3604.16</v>
      </c>
      <c r="Q25" s="312" t="s">
        <v>35</v>
      </c>
      <c r="R25" s="313"/>
      <c r="S25" s="314"/>
      <c r="T25" s="52">
        <f>T21</f>
        <v>366</v>
      </c>
      <c r="U25" s="47">
        <f>U24+T25</f>
        <v>389.43299999999999</v>
      </c>
      <c r="V25" s="47">
        <f>V24+T25</f>
        <v>412.86599999999999</v>
      </c>
      <c r="W25" s="47">
        <f>W24+T25</f>
        <v>436.29899999999998</v>
      </c>
      <c r="X25" s="47">
        <f>X24+T25</f>
        <v>459.73199999999997</v>
      </c>
      <c r="Y25" s="47">
        <f>Y24+T25</f>
        <v>483.16499999999996</v>
      </c>
      <c r="Z25" s="47">
        <f>Z24+T25</f>
        <v>506.59800000000001</v>
      </c>
      <c r="AA25" s="47">
        <f>AA24+T25</f>
        <v>530.03099999999995</v>
      </c>
      <c r="AB25" s="47">
        <f>AB24+T25</f>
        <v>553.46399999999994</v>
      </c>
    </row>
    <row r="26" spans="1:31">
      <c r="B26" s="312" t="s">
        <v>36</v>
      </c>
      <c r="C26" s="313"/>
      <c r="D26" s="314"/>
      <c r="E26" s="52">
        <f>0-E25</f>
        <v>-2150</v>
      </c>
      <c r="F26" s="47">
        <f t="shared" ref="F26:M26" si="13">F19-F25</f>
        <v>-2014.22</v>
      </c>
      <c r="G26" s="47">
        <f t="shared" si="13"/>
        <v>-1638.44</v>
      </c>
      <c r="H26" s="47">
        <f t="shared" si="13"/>
        <v>-1262.6599999999999</v>
      </c>
      <c r="I26" s="47">
        <f t="shared" si="13"/>
        <v>-886.87999999999988</v>
      </c>
      <c r="J26" s="47">
        <f t="shared" si="13"/>
        <v>-511.09999999999991</v>
      </c>
      <c r="K26" s="47">
        <f t="shared" si="13"/>
        <v>-375.31999999999971</v>
      </c>
      <c r="L26" s="47">
        <f t="shared" si="13"/>
        <v>0.45999999999958163</v>
      </c>
      <c r="M26" s="47">
        <f t="shared" si="13"/>
        <v>376.24000000000024</v>
      </c>
      <c r="P26" s="1"/>
      <c r="Q26" s="312" t="s">
        <v>36</v>
      </c>
      <c r="R26" s="313"/>
      <c r="S26" s="314"/>
      <c r="T26" s="52">
        <f>0-T25</f>
        <v>-366</v>
      </c>
      <c r="U26" s="47">
        <f t="shared" ref="U26:AB26" si="14">U19-U25</f>
        <v>-329.20799999999997</v>
      </c>
      <c r="V26" s="47">
        <f t="shared" si="14"/>
        <v>-264.416</v>
      </c>
      <c r="W26" s="47">
        <f t="shared" si="14"/>
        <v>-199.62399999999997</v>
      </c>
      <c r="X26" s="47">
        <f t="shared" si="14"/>
        <v>-134.83199999999999</v>
      </c>
      <c r="Y26" s="47">
        <f t="shared" si="14"/>
        <v>-70.039999999999964</v>
      </c>
      <c r="Z26" s="47">
        <f t="shared" si="14"/>
        <v>-33.24799999999999</v>
      </c>
      <c r="AA26" s="47">
        <f t="shared" si="14"/>
        <v>31.544000000000096</v>
      </c>
      <c r="AB26" s="47">
        <f t="shared" si="14"/>
        <v>96.336000000000013</v>
      </c>
      <c r="AE26" s="48"/>
    </row>
    <row r="27" spans="1:31">
      <c r="O27" s="48"/>
      <c r="AD27" s="48"/>
      <c r="AE27" s="48"/>
    </row>
    <row r="28" spans="1:31" ht="13.5" thickBot="1">
      <c r="B28" s="54"/>
      <c r="C28" s="55"/>
      <c r="D28" s="55"/>
      <c r="E28" s="55"/>
      <c r="F28" s="56"/>
      <c r="G28" s="56"/>
      <c r="H28" s="56"/>
      <c r="I28" s="56"/>
      <c r="Q28" s="54"/>
      <c r="R28" s="55"/>
      <c r="S28" s="55"/>
      <c r="T28" s="55"/>
      <c r="U28" s="56"/>
      <c r="V28" s="56"/>
      <c r="W28" s="56"/>
      <c r="X28" s="56"/>
      <c r="Y28" s="56"/>
      <c r="Z28" s="56"/>
    </row>
    <row r="29" spans="1:31" ht="14.25" thickTop="1" thickBot="1">
      <c r="B29" s="57" t="s">
        <v>37</v>
      </c>
      <c r="E29" s="62">
        <v>7</v>
      </c>
      <c r="F29" s="58" t="s">
        <v>38</v>
      </c>
      <c r="G29" s="63" t="s">
        <v>51</v>
      </c>
      <c r="Q29" s="57" t="s">
        <v>37</v>
      </c>
      <c r="T29" s="62">
        <v>6.6</v>
      </c>
      <c r="U29" s="58" t="s">
        <v>38</v>
      </c>
      <c r="V29" s="63" t="s">
        <v>51</v>
      </c>
      <c r="W29" s="56"/>
      <c r="Z29" s="56"/>
    </row>
    <row r="30" spans="1:31" ht="13.5" thickTop="1">
      <c r="A30" s="1"/>
      <c r="B30" s="59" t="s">
        <v>47</v>
      </c>
      <c r="E30" s="48">
        <f>100-(F22*100)/F17</f>
        <v>42.758620689655174</v>
      </c>
      <c r="F30" s="58" t="s">
        <v>25</v>
      </c>
      <c r="Q30" s="59" t="s">
        <v>47</v>
      </c>
      <c r="T30" s="48">
        <f>100-(U22*100)/U17</f>
        <v>61.090909090909086</v>
      </c>
      <c r="U30" s="58" t="s">
        <v>25</v>
      </c>
    </row>
    <row r="31" spans="1:31">
      <c r="B31" s="59" t="s">
        <v>39</v>
      </c>
      <c r="E31" s="48">
        <v>100</v>
      </c>
      <c r="F31" s="58" t="s">
        <v>25</v>
      </c>
      <c r="Q31" s="59" t="s">
        <v>39</v>
      </c>
      <c r="T31" s="48">
        <v>100</v>
      </c>
      <c r="U31" s="58" t="s">
        <v>25</v>
      </c>
    </row>
    <row r="33" spans="1:17">
      <c r="B33" s="48" t="s">
        <v>44</v>
      </c>
      <c r="Q33" s="48" t="s">
        <v>45</v>
      </c>
    </row>
    <row r="34" spans="1:17">
      <c r="B34" s="48" t="s">
        <v>43</v>
      </c>
      <c r="Q34" s="48" t="s">
        <v>46</v>
      </c>
    </row>
    <row r="35" spans="1:17">
      <c r="B35" s="48"/>
      <c r="Q35" s="48"/>
    </row>
    <row r="36" spans="1:17">
      <c r="B36" s="48"/>
    </row>
    <row r="37" spans="1:17">
      <c r="Q37" s="48"/>
    </row>
    <row r="38" spans="1:17">
      <c r="B38" s="48"/>
      <c r="Q38" s="48"/>
    </row>
    <row r="39" spans="1:17">
      <c r="B39" s="48"/>
      <c r="Q39" s="48"/>
    </row>
    <row r="40" spans="1:17">
      <c r="B40" s="48"/>
      <c r="Q40" s="48"/>
    </row>
    <row r="41" spans="1:17">
      <c r="A41" s="1"/>
      <c r="B41" s="48"/>
      <c r="Q41" s="48"/>
    </row>
    <row r="42" spans="1:17" ht="21">
      <c r="B42" s="81" t="s">
        <v>61</v>
      </c>
      <c r="Q42" s="81" t="s">
        <v>61</v>
      </c>
    </row>
  </sheetData>
  <mergeCells count="36">
    <mergeCell ref="Q26:S26"/>
    <mergeCell ref="Q20:AB20"/>
    <mergeCell ref="B21:D21"/>
    <mergeCell ref="B22:D22"/>
    <mergeCell ref="B24:D24"/>
    <mergeCell ref="B25:D25"/>
    <mergeCell ref="Q21:S21"/>
    <mergeCell ref="Q22:S22"/>
    <mergeCell ref="Q24:S24"/>
    <mergeCell ref="Q25:S25"/>
    <mergeCell ref="B26:D26"/>
    <mergeCell ref="B20:M20"/>
    <mergeCell ref="Q17:S17"/>
    <mergeCell ref="O6:O7"/>
    <mergeCell ref="B8:O8"/>
    <mergeCell ref="B10:O10"/>
    <mergeCell ref="B19:D19"/>
    <mergeCell ref="F6:M6"/>
    <mergeCell ref="E14:M14"/>
    <mergeCell ref="B14:B15"/>
    <mergeCell ref="B6:B7"/>
    <mergeCell ref="C6:C7"/>
    <mergeCell ref="Q16:AB16"/>
    <mergeCell ref="B16:M16"/>
    <mergeCell ref="B12:M12"/>
    <mergeCell ref="N12:O12"/>
    <mergeCell ref="T14:AB14"/>
    <mergeCell ref="Q6:Q7"/>
    <mergeCell ref="Q14:Q15"/>
    <mergeCell ref="Q8:AD8"/>
    <mergeCell ref="Q10:AD10"/>
    <mergeCell ref="R6:R7"/>
    <mergeCell ref="U6:AB6"/>
    <mergeCell ref="AD6:AD7"/>
    <mergeCell ref="AC12:AD12"/>
    <mergeCell ref="Q12:AB12"/>
  </mergeCells>
  <conditionalFormatting sqref="G9:J9">
    <cfRule type="colorScale" priority="19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G11">
    <cfRule type="colorScale" priority="19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G9:J9">
    <cfRule type="colorScale" priority="19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G11">
    <cfRule type="colorScale" priority="19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G9:J9 G11">
    <cfRule type="colorScale" priority="18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G9:J9">
    <cfRule type="colorScale" priority="18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17:J19 E23:J26 E22:F22 F21:J21">
    <cfRule type="colorScale" priority="18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32">
    <cfRule type="colorScale" priority="18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29:G29">
    <cfRule type="colorScale" priority="18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20">
    <cfRule type="colorScale" priority="18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G9:J9 G11 B9:B11">
    <cfRule type="colorScale" priority="20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K9:L9">
    <cfRule type="colorScale" priority="17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K9:L9">
    <cfRule type="colorScale" priority="17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K9:L9">
    <cfRule type="colorScale" priority="17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K9:L9">
    <cfRule type="colorScale" priority="17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K9:L9">
    <cfRule type="colorScale" priority="17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K17:L19 K23:L26 K21:L21 L18:M18">
    <cfRule type="colorScale" priority="17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G9:L9">
    <cfRule type="colorScale" priority="17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G11">
    <cfRule type="colorScale" priority="17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G9:L9 G11">
    <cfRule type="colorScale" priority="16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17:L19 E23:L25 E22:F22 F21:L21 L18:M18">
    <cfRule type="colorScale" priority="16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M9">
    <cfRule type="colorScale" priority="16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M9">
    <cfRule type="colorScale" priority="16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M9">
    <cfRule type="colorScale" priority="16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M9">
    <cfRule type="colorScale" priority="16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M9">
    <cfRule type="colorScale" priority="16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M9">
    <cfRule type="colorScale" priority="16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M9">
    <cfRule type="colorScale" priority="15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G11">
    <cfRule type="colorScale" priority="15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G11">
    <cfRule type="colorScale" priority="15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G11">
    <cfRule type="colorScale" priority="15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H11:M11">
    <cfRule type="colorScale" priority="15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H11:M11">
    <cfRule type="colorScale" priority="15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H11:M11">
    <cfRule type="colorScale" priority="15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H11:M11">
    <cfRule type="colorScale" priority="15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H11:M11">
    <cfRule type="colorScale" priority="15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H11:M11">
    <cfRule type="colorScale" priority="14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H11:M11">
    <cfRule type="colorScale" priority="14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H11:M11">
    <cfRule type="colorScale" priority="14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H11:M11">
    <cfRule type="colorScale" priority="14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H11:M11">
    <cfRule type="colorScale" priority="14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F9:M9 F11:M11">
    <cfRule type="colorScale" priority="14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M17:M19 M23:M26 M21">
    <cfRule type="colorScale" priority="14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M17:M19 M23:M25 M21">
    <cfRule type="colorScale" priority="14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G22:M22">
    <cfRule type="colorScale" priority="14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G22:M22">
    <cfRule type="colorScale" priority="14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22:M25 F21:M21 E17:M19">
    <cfRule type="colorScale" priority="13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26:M26">
    <cfRule type="colorScale" priority="13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V33">
    <cfRule type="colorScale" priority="12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W29 U29">
    <cfRule type="colorScale" priority="12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9:M9 E11:M11">
    <cfRule type="colorScale" priority="5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V9:Y9">
    <cfRule type="colorScale" priority="5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V11">
    <cfRule type="colorScale" priority="5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V9:Y9">
    <cfRule type="colorScale" priority="4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V11">
    <cfRule type="colorScale" priority="4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V9:Y9 V11">
    <cfRule type="colorScale" priority="4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V9:Y9">
    <cfRule type="colorScale" priority="4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V9:Y9 V11 Q9:Q11">
    <cfRule type="colorScale" priority="5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Z9:AA9">
    <cfRule type="colorScale" priority="4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Z9:AA9">
    <cfRule type="colorScale" priority="4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Z9:AA9">
    <cfRule type="colorScale" priority="3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Z9:AA9">
    <cfRule type="colorScale" priority="3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Z9:AA9">
    <cfRule type="colorScale" priority="4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V9:AA9">
    <cfRule type="colorScale" priority="3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V11">
    <cfRule type="colorScale" priority="3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V9:AA9 V11">
    <cfRule type="colorScale" priority="3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B9">
    <cfRule type="colorScale" priority="3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B9">
    <cfRule type="colorScale" priority="3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B9">
    <cfRule type="colorScale" priority="3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B9">
    <cfRule type="colorScale" priority="3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B9">
    <cfRule type="colorScale" priority="3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B9">
    <cfRule type="colorScale" priority="2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B9">
    <cfRule type="colorScale" priority="2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V11">
    <cfRule type="colorScale" priority="2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V11">
    <cfRule type="colorScale" priority="2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V11">
    <cfRule type="colorScale" priority="2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W11:AB11">
    <cfRule type="colorScale" priority="2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W11:AB11">
    <cfRule type="colorScale" priority="2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W11:AB11">
    <cfRule type="colorScale" priority="2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W11:AB11">
    <cfRule type="colorScale" priority="2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W11:AB11">
    <cfRule type="colorScale" priority="2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W11:AB11">
    <cfRule type="colorScale" priority="1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W11:AB11">
    <cfRule type="colorScale" priority="1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W11:AB11">
    <cfRule type="colorScale" priority="1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W11:AB11">
    <cfRule type="colorScale" priority="1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W11:AB11">
    <cfRule type="colorScale" priority="1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U9:AB9 U11:AB11">
    <cfRule type="colorScale" priority="1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T9:AB9 T11:AB11">
    <cfRule type="colorScale" priority="1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T17:Y19 T23:Y26 T22:U22 U21:Y21">
    <cfRule type="colorScale" priority="1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Q20">
    <cfRule type="colorScale" priority="1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Z17:AA19 Z23:AA26 Z21:AA21 AA18:AB18">
    <cfRule type="colorScale" priority="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T17:AA19 T23:AA25 T22:U22 U21:AA21 AA18:AB18">
    <cfRule type="colorScale" priority="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B17:AB19 AB23:AB26 AB21">
    <cfRule type="colorScale" priority="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B17:AB19 AB23:AB25 AB21">
    <cfRule type="colorScale" priority="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V22:AB22">
    <cfRule type="colorScale" priority="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V22:AB22">
    <cfRule type="colorScale" priority="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T22:AB25 U21:AB21 T17:AB19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T26:AB26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V29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pageSetup orientation="landscape" horizontalDpi="4294967294" verticalDpi="0" r:id="rId1"/>
  <headerFooter>
    <oddHeader>&amp;C&amp;"-,Bold"&amp;U&amp;K03+000PRORAČUN ZAMJENE SIJALICA U JAVNOJ RASVJETI</oddHeader>
    <oddFooter>&amp;L&amp;KC00000GIZ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2B3D8A7E4A43C4E8EAD4FD4BC082005" ma:contentTypeVersion="1" ma:contentTypeDescription="Create a new document." ma:contentTypeScope="" ma:versionID="e809953f6ae3ee602f091995c8238101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48c5b5cd9b8d25ff6dd15848836f4270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A69572A-0D73-42CF-B0CA-4EEA2A675F46}"/>
</file>

<file path=customXml/itemProps2.xml><?xml version="1.0" encoding="utf-8"?>
<ds:datastoreItem xmlns:ds="http://schemas.openxmlformats.org/officeDocument/2006/customXml" ds:itemID="{13FF8F39-B638-4ECD-BC67-F09406EEDDE6}"/>
</file>

<file path=customXml/itemProps3.xml><?xml version="1.0" encoding="utf-8"?>
<ds:datastoreItem xmlns:ds="http://schemas.openxmlformats.org/officeDocument/2006/customXml" ds:itemID="{C08A0C03-FD7D-4B17-BFB4-6D7D8C26608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Pregled</vt:lpstr>
      <vt:lpstr>Živa 80W</vt:lpstr>
      <vt:lpstr>Živa 125W</vt:lpstr>
      <vt:lpstr>Živa 250W</vt:lpstr>
      <vt:lpstr>Živa 400W</vt:lpstr>
      <vt:lpstr>LED</vt:lpstr>
    </vt:vector>
  </TitlesOfParts>
  <Company>EKP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c0aecbd9-c16a-4aee-9ef5-a76c970a6741_d_Јавна расвјета Калкулатор за локалне самоуправе</dc:title>
  <dc:creator>EKP</dc:creator>
  <cp:lastModifiedBy>Milica</cp:lastModifiedBy>
  <cp:lastPrinted>2013-09-03T20:23:42Z</cp:lastPrinted>
  <dcterms:created xsi:type="dcterms:W3CDTF">2013-07-30T18:29:05Z</dcterms:created>
  <dcterms:modified xsi:type="dcterms:W3CDTF">2019-09-16T20:02:45Z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0x010100F2B3D8A7E4A43C4E8EAD4FD4BC082005</vt:lpwstr>
  </property>
</Properties>
</file>